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EELANCE\UPWORK\68. Kevin Barnett Construction\3. LaPrairie Home\"/>
    </mc:Choice>
  </mc:AlternateContent>
  <xr:revisionPtr revIDLastSave="0" documentId="13_ncr:1_{64BF6BEF-89D8-48F1-A60C-D15B4F5AE191}" xr6:coauthVersionLast="47" xr6:coauthVersionMax="47" xr10:uidLastSave="{00000000-0000-0000-0000-000000000000}"/>
  <bookViews>
    <workbookView xWindow="-120" yWindow="-120" windowWidth="20730" windowHeight="11160" tabRatio="853" activeTab="1" xr2:uid="{00000000-000D-0000-FFFF-FFFF00000000}"/>
  </bookViews>
  <sheets>
    <sheet name="PROJECT SUMMARY" sheetId="1" r:id="rId1"/>
    <sheet name="BASE BID" sheetId="5" r:id="rId2"/>
  </sheets>
  <externalReferences>
    <externalReference r:id="rId3"/>
    <externalReference r:id="rId4"/>
  </externalReferences>
  <definedNames>
    <definedName name="_xlnm._FilterDatabase" localSheetId="1" hidden="1">'BASE BID'!$A$15:$P$40</definedName>
    <definedName name="_xlnm.Print_Area" localSheetId="1">'BASE BID'!$A$1:$P$12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5" l="1"/>
  <c r="A22" i="5"/>
  <c r="A25" i="5"/>
  <c r="A28" i="5"/>
  <c r="A31" i="5"/>
  <c r="A34" i="5"/>
  <c r="A37" i="5"/>
  <c r="A38" i="5"/>
  <c r="A41" i="5"/>
  <c r="A44" i="5"/>
  <c r="A47" i="5"/>
  <c r="A51" i="5"/>
  <c r="A52" i="5"/>
  <c r="A56" i="5"/>
  <c r="A60" i="5"/>
  <c r="A64" i="5"/>
  <c r="A67" i="5"/>
  <c r="A71" i="5"/>
  <c r="A75" i="5"/>
  <c r="A79" i="5"/>
  <c r="A82" i="5"/>
  <c r="A86" i="5"/>
  <c r="A89" i="5"/>
  <c r="A92" i="5"/>
  <c r="A93" i="5"/>
  <c r="A97" i="5"/>
  <c r="A101" i="5"/>
  <c r="A102" i="5"/>
  <c r="A109" i="5"/>
  <c r="A114" i="5"/>
  <c r="A122" i="5"/>
  <c r="A124" i="5"/>
  <c r="A125" i="5"/>
  <c r="A130" i="5"/>
  <c r="A133" i="5"/>
  <c r="A138" i="5"/>
  <c r="A143" i="5"/>
  <c r="A147" i="5"/>
  <c r="A150" i="5"/>
  <c r="A154" i="5"/>
  <c r="A155" i="5"/>
  <c r="A160" i="5"/>
  <c r="A161" i="5"/>
  <c r="A165" i="5"/>
  <c r="A166" i="5"/>
  <c r="A167" i="5"/>
  <c r="A168" i="5"/>
  <c r="A174" i="5"/>
  <c r="A175" i="5"/>
  <c r="A181" i="5"/>
  <c r="A182" i="5"/>
  <c r="A189" i="5"/>
  <c r="A190" i="5"/>
  <c r="A195" i="5"/>
  <c r="A196" i="5"/>
  <c r="A199" i="5"/>
  <c r="A200" i="5"/>
  <c r="A202" i="5"/>
  <c r="A203" i="5"/>
  <c r="A205" i="5"/>
  <c r="A206" i="5"/>
  <c r="A207" i="5"/>
  <c r="A208" i="5"/>
  <c r="A211" i="5"/>
  <c r="A214" i="5"/>
  <c r="A215" i="5"/>
  <c r="A217" i="5"/>
  <c r="A225" i="5"/>
  <c r="A230" i="5"/>
  <c r="A236" i="5"/>
  <c r="A238" i="5"/>
  <c r="A239" i="5"/>
  <c r="A245" i="5"/>
  <c r="A246" i="5"/>
  <c r="A251" i="5"/>
  <c r="A252" i="5"/>
  <c r="A255" i="5"/>
  <c r="A256" i="5"/>
  <c r="A258" i="5"/>
  <c r="A259" i="5"/>
  <c r="A260" i="5"/>
  <c r="A261" i="5"/>
  <c r="A268" i="5"/>
  <c r="A279" i="5"/>
  <c r="A280" i="5"/>
  <c r="A285" i="5"/>
  <c r="A287" i="5"/>
  <c r="A288" i="5"/>
  <c r="A291" i="5"/>
  <c r="A292" i="5"/>
  <c r="A295" i="5"/>
  <c r="A296" i="5"/>
  <c r="A297" i="5"/>
  <c r="A298" i="5"/>
  <c r="A326" i="5"/>
  <c r="A327" i="5"/>
  <c r="A329" i="5"/>
  <c r="A330" i="5"/>
  <c r="A332" i="5"/>
  <c r="A333" i="5"/>
  <c r="A362" i="5"/>
  <c r="A363" i="5"/>
  <c r="A364" i="5"/>
  <c r="A365" i="5"/>
  <c r="A366" i="5"/>
  <c r="A367" i="5"/>
  <c r="A373" i="5"/>
  <c r="A374" i="5"/>
  <c r="A380" i="5"/>
  <c r="A381" i="5"/>
  <c r="A387" i="5"/>
  <c r="A388" i="5"/>
  <c r="A394" i="5"/>
  <c r="A395" i="5"/>
  <c r="A401" i="5"/>
  <c r="A402" i="5"/>
  <c r="A408" i="5"/>
  <c r="A409" i="5"/>
  <c r="A415" i="5"/>
  <c r="A416" i="5"/>
  <c r="A422" i="5"/>
  <c r="A423" i="5"/>
  <c r="A429" i="5"/>
  <c r="A430" i="5"/>
  <c r="A436" i="5"/>
  <c r="A437" i="5"/>
  <c r="A443" i="5"/>
  <c r="A444" i="5"/>
  <c r="A450" i="5"/>
  <c r="A451" i="5"/>
  <c r="A457" i="5"/>
  <c r="A458" i="5"/>
  <c r="A464" i="5"/>
  <c r="A465" i="5"/>
  <c r="A471" i="5"/>
  <c r="A472" i="5"/>
  <c r="A478" i="5"/>
  <c r="A479" i="5"/>
  <c r="A483" i="5"/>
  <c r="A484" i="5"/>
  <c r="A489" i="5"/>
  <c r="A490" i="5"/>
  <c r="A495" i="5"/>
  <c r="A496" i="5"/>
  <c r="A502" i="5"/>
  <c r="A503" i="5"/>
  <c r="A508" i="5"/>
  <c r="A509" i="5"/>
  <c r="A515" i="5"/>
  <c r="A516" i="5"/>
  <c r="A521" i="5"/>
  <c r="A522" i="5"/>
  <c r="A527" i="5"/>
  <c r="A528" i="5"/>
  <c r="A533" i="5"/>
  <c r="A534" i="5"/>
  <c r="A539" i="5"/>
  <c r="A540" i="5"/>
  <c r="A546" i="5"/>
  <c r="A547" i="5"/>
  <c r="A552" i="5"/>
  <c r="A553" i="5"/>
  <c r="A558" i="5"/>
  <c r="A559" i="5"/>
  <c r="A565" i="5"/>
  <c r="A566" i="5"/>
  <c r="A571" i="5"/>
  <c r="A572" i="5"/>
  <c r="A577" i="5"/>
  <c r="A578" i="5"/>
  <c r="A584" i="5"/>
  <c r="A585" i="5"/>
  <c r="A591" i="5"/>
  <c r="A592" i="5"/>
  <c r="A598" i="5"/>
  <c r="A599" i="5"/>
  <c r="A602" i="5"/>
  <c r="A603" i="5"/>
  <c r="A605" i="5"/>
  <c r="A609" i="5"/>
  <c r="A610" i="5"/>
  <c r="A612" i="5"/>
  <c r="A613" i="5"/>
  <c r="A616" i="5"/>
  <c r="A618" i="5"/>
  <c r="A621" i="5"/>
  <c r="A622" i="5"/>
  <c r="A626" i="5"/>
  <c r="A627" i="5"/>
  <c r="A631" i="5"/>
  <c r="A632" i="5"/>
  <c r="A634" i="5"/>
  <c r="A635" i="5"/>
  <c r="A637" i="5"/>
  <c r="A638" i="5"/>
  <c r="A639" i="5"/>
  <c r="A640" i="5"/>
  <c r="A642" i="5"/>
  <c r="A643" i="5"/>
  <c r="A646" i="5"/>
  <c r="A647" i="5"/>
  <c r="A649" i="5"/>
  <c r="A650" i="5"/>
  <c r="A652" i="5"/>
  <c r="A653" i="5"/>
  <c r="A655" i="5"/>
  <c r="A656" i="5"/>
  <c r="A657" i="5"/>
  <c r="A658" i="5"/>
  <c r="A663" i="5"/>
  <c r="A664" i="5"/>
  <c r="A666" i="5"/>
  <c r="A667" i="5"/>
  <c r="A668" i="5"/>
  <c r="A669" i="5"/>
  <c r="A676" i="5"/>
  <c r="A677" i="5"/>
  <c r="A678" i="5"/>
  <c r="A679" i="5"/>
  <c r="A683" i="5"/>
  <c r="A686" i="5"/>
  <c r="A698" i="5"/>
  <c r="A699" i="5"/>
  <c r="A700" i="5"/>
  <c r="A702" i="5"/>
  <c r="A703" i="5"/>
  <c r="A704" i="5"/>
  <c r="A705" i="5"/>
  <c r="A714" i="5"/>
  <c r="A715" i="5"/>
  <c r="A716" i="5"/>
  <c r="A720" i="5"/>
  <c r="A721" i="5"/>
  <c r="A722" i="5"/>
  <c r="A723" i="5"/>
  <c r="A725" i="5"/>
  <c r="A726" i="5"/>
  <c r="A728" i="5"/>
  <c r="A729" i="5"/>
  <c r="A731" i="5"/>
  <c r="A732" i="5"/>
  <c r="A734" i="5"/>
  <c r="A735" i="5"/>
  <c r="A739" i="5"/>
  <c r="A740" i="5"/>
  <c r="A741" i="5"/>
  <c r="J146" i="5"/>
  <c r="L146" i="5" s="1"/>
  <c r="O146" i="5" s="1"/>
  <c r="J144" i="5"/>
  <c r="L144" i="5" s="1"/>
  <c r="F153" i="5"/>
  <c r="E153" i="5"/>
  <c r="F152" i="5"/>
  <c r="E152" i="5"/>
  <c r="G152" i="5" s="1"/>
  <c r="N152" i="5" s="1"/>
  <c r="F151" i="5"/>
  <c r="E151" i="5"/>
  <c r="F149" i="5"/>
  <c r="E149" i="5"/>
  <c r="F148" i="5"/>
  <c r="E148" i="5"/>
  <c r="F146" i="5"/>
  <c r="G146" i="5" s="1"/>
  <c r="N146" i="5" s="1"/>
  <c r="E146" i="5"/>
  <c r="F145" i="5"/>
  <c r="G145" i="5" s="1"/>
  <c r="N145" i="5" s="1"/>
  <c r="E145" i="5"/>
  <c r="F144" i="5"/>
  <c r="G144" i="5" s="1"/>
  <c r="N144" i="5" s="1"/>
  <c r="E144" i="5"/>
  <c r="G142" i="5"/>
  <c r="N142" i="5" s="1"/>
  <c r="F142" i="5"/>
  <c r="E142" i="5"/>
  <c r="F141" i="5"/>
  <c r="G141" i="5" s="1"/>
  <c r="E141" i="5"/>
  <c r="G140" i="5"/>
  <c r="N140" i="5" s="1"/>
  <c r="F140" i="5"/>
  <c r="E140" i="5"/>
  <c r="F139" i="5"/>
  <c r="G139" i="5" s="1"/>
  <c r="E139" i="5"/>
  <c r="F137" i="5"/>
  <c r="G137" i="5" s="1"/>
  <c r="E137" i="5"/>
  <c r="F136" i="5"/>
  <c r="G136" i="5" s="1"/>
  <c r="E136" i="5"/>
  <c r="F135" i="5"/>
  <c r="G135" i="5" s="1"/>
  <c r="E135" i="5"/>
  <c r="G134" i="5"/>
  <c r="J134" i="5" s="1"/>
  <c r="L134" i="5" s="1"/>
  <c r="F134" i="5"/>
  <c r="E134" i="5"/>
  <c r="G132" i="5"/>
  <c r="N132" i="5" s="1"/>
  <c r="F132" i="5"/>
  <c r="E132" i="5"/>
  <c r="F131" i="5"/>
  <c r="G131" i="5" s="1"/>
  <c r="E131" i="5"/>
  <c r="F91" i="5"/>
  <c r="E91" i="5"/>
  <c r="F90" i="5"/>
  <c r="E90" i="5"/>
  <c r="F88" i="5"/>
  <c r="E88" i="5"/>
  <c r="F87" i="5"/>
  <c r="E87" i="5"/>
  <c r="F85" i="5"/>
  <c r="G85" i="5" s="1"/>
  <c r="E85" i="5"/>
  <c r="F84" i="5"/>
  <c r="E84" i="5"/>
  <c r="F83" i="5"/>
  <c r="E83" i="5"/>
  <c r="F81" i="5"/>
  <c r="E81" i="5"/>
  <c r="F80" i="5"/>
  <c r="E80" i="5"/>
  <c r="F78" i="5"/>
  <c r="E78" i="5"/>
  <c r="F77" i="5"/>
  <c r="E77" i="5"/>
  <c r="F76" i="5"/>
  <c r="G76" i="5" s="1"/>
  <c r="E76" i="5"/>
  <c r="F74" i="5"/>
  <c r="E74" i="5"/>
  <c r="F73" i="5"/>
  <c r="E73" i="5"/>
  <c r="F72" i="5"/>
  <c r="E72" i="5"/>
  <c r="F70" i="5"/>
  <c r="E70" i="5"/>
  <c r="F69" i="5"/>
  <c r="E69" i="5"/>
  <c r="F68" i="5"/>
  <c r="E68" i="5"/>
  <c r="F50" i="5"/>
  <c r="E50" i="5"/>
  <c r="F49" i="5"/>
  <c r="E49" i="5"/>
  <c r="F48" i="5"/>
  <c r="E48" i="5"/>
  <c r="F46" i="5"/>
  <c r="G46" i="5" s="1"/>
  <c r="E46" i="5"/>
  <c r="F45" i="5"/>
  <c r="E45" i="5"/>
  <c r="F43" i="5"/>
  <c r="E43" i="5"/>
  <c r="F42" i="5"/>
  <c r="E42" i="5"/>
  <c r="F36" i="5"/>
  <c r="E36" i="5"/>
  <c r="F35" i="5"/>
  <c r="E35" i="5"/>
  <c r="F33" i="5"/>
  <c r="E33" i="5"/>
  <c r="F32" i="5"/>
  <c r="E32" i="5"/>
  <c r="F30" i="5"/>
  <c r="G30" i="5" s="1"/>
  <c r="N30" i="5" s="1"/>
  <c r="E30" i="5"/>
  <c r="F29" i="5"/>
  <c r="E29" i="5"/>
  <c r="F27" i="5"/>
  <c r="E27" i="5"/>
  <c r="F26" i="5"/>
  <c r="E26" i="5"/>
  <c r="F24" i="5"/>
  <c r="E24" i="5"/>
  <c r="F23" i="5"/>
  <c r="E23" i="5"/>
  <c r="F21" i="5"/>
  <c r="E21" i="5"/>
  <c r="F20" i="5"/>
  <c r="E20" i="5"/>
  <c r="F18" i="5"/>
  <c r="G18" i="5" s="1"/>
  <c r="N18" i="5" s="1"/>
  <c r="E18" i="5"/>
  <c r="F17" i="5"/>
  <c r="E17" i="5"/>
  <c r="M474" i="5"/>
  <c r="M467" i="5"/>
  <c r="M460" i="5"/>
  <c r="M453" i="5"/>
  <c r="M446" i="5"/>
  <c r="E629" i="5"/>
  <c r="F630" i="5"/>
  <c r="G630" i="5" s="1"/>
  <c r="F331" i="5"/>
  <c r="G331" i="5" s="1"/>
  <c r="N331" i="5" s="1"/>
  <c r="F744" i="5"/>
  <c r="G744" i="5" s="1"/>
  <c r="N744" i="5" s="1"/>
  <c r="E651" i="5"/>
  <c r="E633" i="5"/>
  <c r="E620" i="5"/>
  <c r="F620" i="5"/>
  <c r="E608" i="5"/>
  <c r="E607" i="5"/>
  <c r="E606" i="5"/>
  <c r="E604" i="5"/>
  <c r="F604" i="5"/>
  <c r="F601" i="5"/>
  <c r="G601" i="5" s="1"/>
  <c r="N601" i="5" s="1"/>
  <c r="F600" i="5"/>
  <c r="G600" i="5" s="1"/>
  <c r="N600" i="5" s="1"/>
  <c r="E594" i="5"/>
  <c r="E593" i="5"/>
  <c r="F597" i="5"/>
  <c r="E597" i="5"/>
  <c r="F596" i="5"/>
  <c r="E596" i="5"/>
  <c r="F595" i="5"/>
  <c r="E595" i="5"/>
  <c r="F594" i="5"/>
  <c r="F593" i="5"/>
  <c r="E587" i="5"/>
  <c r="E586" i="5"/>
  <c r="F590" i="5"/>
  <c r="E590" i="5"/>
  <c r="F589" i="5"/>
  <c r="E589" i="5"/>
  <c r="F588" i="5"/>
  <c r="E588" i="5"/>
  <c r="F587" i="5"/>
  <c r="F586" i="5"/>
  <c r="G586" i="5" s="1"/>
  <c r="N586" i="5" s="1"/>
  <c r="E580" i="5"/>
  <c r="E579" i="5"/>
  <c r="F583" i="5"/>
  <c r="E583" i="5"/>
  <c r="F582" i="5"/>
  <c r="E582" i="5"/>
  <c r="F581" i="5"/>
  <c r="E581" i="5"/>
  <c r="F580" i="5"/>
  <c r="G580" i="5" s="1"/>
  <c r="N580" i="5" s="1"/>
  <c r="F579" i="5"/>
  <c r="E573" i="5"/>
  <c r="E567" i="5"/>
  <c r="F576" i="5"/>
  <c r="E576" i="5"/>
  <c r="F575" i="5"/>
  <c r="E575" i="5"/>
  <c r="F574" i="5"/>
  <c r="E574" i="5"/>
  <c r="F573" i="5"/>
  <c r="F570" i="5"/>
  <c r="E570" i="5"/>
  <c r="F569" i="5"/>
  <c r="E569" i="5"/>
  <c r="F568" i="5"/>
  <c r="E568" i="5"/>
  <c r="F567" i="5"/>
  <c r="F564" i="5"/>
  <c r="E564" i="5"/>
  <c r="F563" i="5"/>
  <c r="E563" i="5"/>
  <c r="F562" i="5"/>
  <c r="E562" i="5"/>
  <c r="F561" i="5"/>
  <c r="E561" i="5"/>
  <c r="F560" i="5"/>
  <c r="E560" i="5"/>
  <c r="F557" i="5"/>
  <c r="E557" i="5"/>
  <c r="F556" i="5"/>
  <c r="E556" i="5"/>
  <c r="F555" i="5"/>
  <c r="E555" i="5"/>
  <c r="F554" i="5"/>
  <c r="E554" i="5"/>
  <c r="E548" i="5"/>
  <c r="F551" i="5"/>
  <c r="E551" i="5"/>
  <c r="F550" i="5"/>
  <c r="E550" i="5"/>
  <c r="F549" i="5"/>
  <c r="E549" i="5"/>
  <c r="F548" i="5"/>
  <c r="E542" i="5"/>
  <c r="F542" i="5"/>
  <c r="E535" i="5"/>
  <c r="F545" i="5"/>
  <c r="E545" i="5"/>
  <c r="F544" i="5"/>
  <c r="E544" i="5"/>
  <c r="F543" i="5"/>
  <c r="E543" i="5"/>
  <c r="F541" i="5"/>
  <c r="E541" i="5"/>
  <c r="F538" i="5"/>
  <c r="E538" i="5"/>
  <c r="F537" i="5"/>
  <c r="E537" i="5"/>
  <c r="F536" i="5"/>
  <c r="E536" i="5"/>
  <c r="F535" i="5"/>
  <c r="F606" i="5"/>
  <c r="F607" i="5"/>
  <c r="F608" i="5"/>
  <c r="F611" i="5"/>
  <c r="G611" i="5" s="1"/>
  <c r="J611" i="5" s="1"/>
  <c r="L611" i="5" s="1"/>
  <c r="E614" i="5"/>
  <c r="F614" i="5"/>
  <c r="F615" i="5"/>
  <c r="G615" i="5" s="1"/>
  <c r="N615" i="5" s="1"/>
  <c r="E523" i="5"/>
  <c r="E529" i="5"/>
  <c r="F532" i="5"/>
  <c r="E532" i="5"/>
  <c r="F531" i="5"/>
  <c r="E531" i="5"/>
  <c r="F530" i="5"/>
  <c r="E530" i="5"/>
  <c r="F529" i="5"/>
  <c r="F526" i="5"/>
  <c r="E526" i="5"/>
  <c r="F525" i="5"/>
  <c r="E525" i="5"/>
  <c r="F524" i="5"/>
  <c r="E524" i="5"/>
  <c r="F523" i="5"/>
  <c r="E517" i="5"/>
  <c r="F520" i="5"/>
  <c r="E520" i="5"/>
  <c r="F519" i="5"/>
  <c r="E519" i="5"/>
  <c r="F518" i="5"/>
  <c r="E518" i="5"/>
  <c r="F517" i="5"/>
  <c r="E511" i="5"/>
  <c r="E510" i="5"/>
  <c r="F514" i="5"/>
  <c r="E514" i="5"/>
  <c r="F513" i="5"/>
  <c r="E513" i="5"/>
  <c r="F512" i="5"/>
  <c r="E512" i="5"/>
  <c r="F511" i="5"/>
  <c r="F510" i="5"/>
  <c r="E504" i="5"/>
  <c r="E491" i="5"/>
  <c r="F507" i="5"/>
  <c r="E507" i="5"/>
  <c r="F506" i="5"/>
  <c r="E506" i="5"/>
  <c r="F505" i="5"/>
  <c r="E505" i="5"/>
  <c r="F504" i="5"/>
  <c r="E498" i="5"/>
  <c r="F498" i="5"/>
  <c r="F501" i="5"/>
  <c r="E501" i="5"/>
  <c r="F500" i="5"/>
  <c r="E500" i="5"/>
  <c r="F499" i="5"/>
  <c r="E499" i="5"/>
  <c r="F497" i="5"/>
  <c r="E497" i="5"/>
  <c r="E494" i="5"/>
  <c r="F494" i="5"/>
  <c r="F493" i="5"/>
  <c r="E493" i="5"/>
  <c r="F492" i="5"/>
  <c r="E492" i="5"/>
  <c r="F491" i="5"/>
  <c r="E485" i="5"/>
  <c r="F488" i="5"/>
  <c r="E488" i="5"/>
  <c r="F487" i="5"/>
  <c r="E487" i="5"/>
  <c r="F486" i="5"/>
  <c r="E486" i="5"/>
  <c r="F485" i="5"/>
  <c r="E476" i="5"/>
  <c r="E473" i="5"/>
  <c r="F482" i="5"/>
  <c r="E482" i="5"/>
  <c r="F481" i="5"/>
  <c r="E481" i="5"/>
  <c r="F480" i="5"/>
  <c r="E480" i="5"/>
  <c r="F477" i="5"/>
  <c r="E477" i="5"/>
  <c r="F476" i="5"/>
  <c r="F475" i="5"/>
  <c r="E475" i="5"/>
  <c r="F474" i="5"/>
  <c r="E474" i="5"/>
  <c r="F473" i="5"/>
  <c r="E470" i="5"/>
  <c r="E469" i="5"/>
  <c r="E468" i="5"/>
  <c r="E467" i="5"/>
  <c r="E466" i="5"/>
  <c r="E462" i="5"/>
  <c r="E459" i="5"/>
  <c r="F470" i="5"/>
  <c r="F469" i="5"/>
  <c r="F468" i="5"/>
  <c r="F467" i="5"/>
  <c r="F466" i="5"/>
  <c r="F463" i="5"/>
  <c r="E463" i="5"/>
  <c r="F462" i="5"/>
  <c r="F461" i="5"/>
  <c r="E461" i="5"/>
  <c r="F460" i="5"/>
  <c r="E460" i="5"/>
  <c r="F459" i="5"/>
  <c r="E455" i="5"/>
  <c r="E452" i="5"/>
  <c r="F456" i="5"/>
  <c r="E456" i="5"/>
  <c r="F455" i="5"/>
  <c r="F454" i="5"/>
  <c r="E454" i="5"/>
  <c r="F453" i="5"/>
  <c r="E453" i="5"/>
  <c r="F452" i="5"/>
  <c r="E448" i="5"/>
  <c r="E445" i="5"/>
  <c r="F449" i="5"/>
  <c r="E449" i="5"/>
  <c r="F448" i="5"/>
  <c r="F447" i="5"/>
  <c r="E447" i="5"/>
  <c r="F446" i="5"/>
  <c r="E446" i="5"/>
  <c r="F445" i="5"/>
  <c r="E442" i="5"/>
  <c r="E441" i="5"/>
  <c r="E440" i="5"/>
  <c r="E439" i="5"/>
  <c r="E438" i="5"/>
  <c r="E434" i="5"/>
  <c r="E431" i="5"/>
  <c r="F442" i="5"/>
  <c r="F441" i="5"/>
  <c r="F440" i="5"/>
  <c r="F439" i="5"/>
  <c r="F438" i="5"/>
  <c r="F435" i="5"/>
  <c r="E435" i="5"/>
  <c r="F434" i="5"/>
  <c r="F433" i="5"/>
  <c r="E433" i="5"/>
  <c r="F432" i="5"/>
  <c r="E432" i="5"/>
  <c r="F431" i="5"/>
  <c r="E428" i="5"/>
  <c r="E427" i="5"/>
  <c r="E426" i="5"/>
  <c r="E425" i="5"/>
  <c r="E424" i="5"/>
  <c r="E420" i="5"/>
  <c r="E417" i="5"/>
  <c r="F428" i="5"/>
  <c r="F427" i="5"/>
  <c r="F426" i="5"/>
  <c r="F425" i="5"/>
  <c r="F424" i="5"/>
  <c r="F421" i="5"/>
  <c r="E421" i="5"/>
  <c r="F420" i="5"/>
  <c r="F419" i="5"/>
  <c r="E419" i="5"/>
  <c r="F418" i="5"/>
  <c r="E418" i="5"/>
  <c r="F417" i="5"/>
  <c r="E414" i="5"/>
  <c r="E413" i="5"/>
  <c r="E412" i="5"/>
  <c r="E411" i="5"/>
  <c r="E410" i="5"/>
  <c r="E406" i="5"/>
  <c r="E403" i="5"/>
  <c r="F414" i="5"/>
  <c r="F413" i="5"/>
  <c r="F412" i="5"/>
  <c r="F411" i="5"/>
  <c r="F410" i="5"/>
  <c r="F407" i="5"/>
  <c r="E407" i="5"/>
  <c r="F406" i="5"/>
  <c r="F405" i="5"/>
  <c r="E405" i="5"/>
  <c r="F404" i="5"/>
  <c r="E404" i="5"/>
  <c r="F403" i="5"/>
  <c r="E400" i="5"/>
  <c r="E399" i="5"/>
  <c r="E398" i="5"/>
  <c r="E397" i="5"/>
  <c r="E396" i="5"/>
  <c r="F400" i="5"/>
  <c r="F399" i="5"/>
  <c r="F398" i="5"/>
  <c r="F397" i="5"/>
  <c r="F396" i="5"/>
  <c r="E392" i="5"/>
  <c r="E389" i="5"/>
  <c r="E385" i="5"/>
  <c r="E382" i="5"/>
  <c r="F393" i="5"/>
  <c r="E393" i="5"/>
  <c r="F392" i="5"/>
  <c r="F391" i="5"/>
  <c r="E391" i="5"/>
  <c r="F390" i="5"/>
  <c r="E390" i="5"/>
  <c r="F389" i="5"/>
  <c r="F386" i="5"/>
  <c r="E386" i="5"/>
  <c r="F385" i="5"/>
  <c r="F384" i="5"/>
  <c r="E384" i="5"/>
  <c r="F383" i="5"/>
  <c r="E383" i="5"/>
  <c r="F382" i="5"/>
  <c r="E379" i="5"/>
  <c r="E378" i="5"/>
  <c r="E377" i="5"/>
  <c r="E376" i="5"/>
  <c r="E375" i="5"/>
  <c r="E372" i="5"/>
  <c r="E371" i="5"/>
  <c r="E370" i="5"/>
  <c r="E369" i="5"/>
  <c r="E368" i="5"/>
  <c r="F619" i="5"/>
  <c r="E294" i="5"/>
  <c r="E293" i="5"/>
  <c r="E727" i="5"/>
  <c r="E724" i="5"/>
  <c r="F743" i="5"/>
  <c r="G743" i="5" s="1"/>
  <c r="N743" i="5" s="1"/>
  <c r="F742" i="5"/>
  <c r="G742" i="5" s="1"/>
  <c r="J742" i="5" s="1"/>
  <c r="L742" i="5" s="1"/>
  <c r="E265" i="5"/>
  <c r="F267" i="5"/>
  <c r="G267" i="5" s="1"/>
  <c r="N267" i="5" s="1"/>
  <c r="F270" i="5"/>
  <c r="G270" i="5" s="1"/>
  <c r="N270" i="5" s="1"/>
  <c r="F271" i="5"/>
  <c r="G271" i="5" s="1"/>
  <c r="N271" i="5" s="1"/>
  <c r="F272" i="5"/>
  <c r="G272" i="5" s="1"/>
  <c r="N272" i="5" s="1"/>
  <c r="F273" i="5"/>
  <c r="G273" i="5" s="1"/>
  <c r="N273" i="5" s="1"/>
  <c r="F274" i="5"/>
  <c r="G274" i="5" s="1"/>
  <c r="N274" i="5" s="1"/>
  <c r="F275" i="5"/>
  <c r="G275" i="5" s="1"/>
  <c r="N275" i="5" s="1"/>
  <c r="F276" i="5"/>
  <c r="G276" i="5" s="1"/>
  <c r="N276" i="5" s="1"/>
  <c r="F277" i="5"/>
  <c r="G277" i="5" s="1"/>
  <c r="N277" i="5" s="1"/>
  <c r="F278" i="5"/>
  <c r="G278" i="5" s="1"/>
  <c r="N278" i="5" s="1"/>
  <c r="F254" i="5"/>
  <c r="G254" i="5" s="1"/>
  <c r="N254" i="5" s="1"/>
  <c r="F253" i="5"/>
  <c r="G253" i="5" s="1"/>
  <c r="N253" i="5" s="1"/>
  <c r="F248" i="5"/>
  <c r="G248" i="5" s="1"/>
  <c r="N248" i="5" s="1"/>
  <c r="F282" i="5"/>
  <c r="G282" i="5" s="1"/>
  <c r="N282" i="5" s="1"/>
  <c r="F283" i="5"/>
  <c r="G283" i="5" s="1"/>
  <c r="N283" i="5" s="1"/>
  <c r="F284" i="5"/>
  <c r="G284" i="5" s="1"/>
  <c r="N284" i="5" s="1"/>
  <c r="F286" i="5"/>
  <c r="G286" i="5" s="1"/>
  <c r="N286" i="5" s="1"/>
  <c r="F713" i="5"/>
  <c r="G713" i="5" s="1"/>
  <c r="N713" i="5" s="1"/>
  <c r="F201" i="5"/>
  <c r="G201" i="5" s="1"/>
  <c r="J201" i="5" s="1"/>
  <c r="L201" i="5" s="1"/>
  <c r="E617" i="5"/>
  <c r="F645" i="5"/>
  <c r="G645" i="5" s="1"/>
  <c r="N645" i="5" s="1"/>
  <c r="F688" i="5"/>
  <c r="G688" i="5" s="1"/>
  <c r="N688" i="5" s="1"/>
  <c r="E628" i="5"/>
  <c r="F623" i="5"/>
  <c r="G623" i="5" s="1"/>
  <c r="N623" i="5" s="1"/>
  <c r="F624" i="5"/>
  <c r="G624" i="5" s="1"/>
  <c r="N624" i="5" s="1"/>
  <c r="F625" i="5"/>
  <c r="G625" i="5" s="1"/>
  <c r="J625" i="5" s="1"/>
  <c r="L625" i="5" s="1"/>
  <c r="F193" i="5"/>
  <c r="G193" i="5" s="1"/>
  <c r="N193" i="5" s="1"/>
  <c r="F194" i="5"/>
  <c r="G194" i="5" s="1"/>
  <c r="J194" i="5" s="1"/>
  <c r="L194" i="5" s="1"/>
  <c r="F197" i="5"/>
  <c r="G197" i="5" s="1"/>
  <c r="N197" i="5" s="1"/>
  <c r="F198" i="5"/>
  <c r="G198" i="5" s="1"/>
  <c r="N198" i="5" s="1"/>
  <c r="F192" i="5"/>
  <c r="G192" i="5" s="1"/>
  <c r="N192" i="5" s="1"/>
  <c r="F191" i="5"/>
  <c r="G191" i="5" s="1"/>
  <c r="J191" i="5" s="1"/>
  <c r="L191" i="5" s="1"/>
  <c r="E681" i="5"/>
  <c r="E682" i="5"/>
  <c r="E680" i="5"/>
  <c r="F682" i="5"/>
  <c r="F684" i="5"/>
  <c r="G684" i="5" s="1"/>
  <c r="J684" i="5" s="1"/>
  <c r="L684" i="5" s="1"/>
  <c r="F685" i="5"/>
  <c r="G685" i="5" s="1"/>
  <c r="N685" i="5" s="1"/>
  <c r="F311" i="5"/>
  <c r="G311" i="5" s="1"/>
  <c r="N311" i="5" s="1"/>
  <c r="F312" i="5"/>
  <c r="G312" i="5" s="1"/>
  <c r="N312" i="5" s="1"/>
  <c r="F313" i="5"/>
  <c r="G313" i="5" s="1"/>
  <c r="J313" i="5" s="1"/>
  <c r="L313" i="5" s="1"/>
  <c r="F314" i="5"/>
  <c r="G314" i="5" s="1"/>
  <c r="N314" i="5" s="1"/>
  <c r="F315" i="5"/>
  <c r="G315" i="5" s="1"/>
  <c r="N315" i="5" s="1"/>
  <c r="F316" i="5"/>
  <c r="G316" i="5" s="1"/>
  <c r="N316" i="5" s="1"/>
  <c r="F317" i="5"/>
  <c r="G317" i="5" s="1"/>
  <c r="J317" i="5" s="1"/>
  <c r="L317" i="5" s="1"/>
  <c r="F318" i="5"/>
  <c r="G318" i="5" s="1"/>
  <c r="N318" i="5" s="1"/>
  <c r="F319" i="5"/>
  <c r="G319" i="5" s="1"/>
  <c r="N319" i="5" s="1"/>
  <c r="F320" i="5"/>
  <c r="G320" i="5" s="1"/>
  <c r="N320" i="5" s="1"/>
  <c r="F321" i="5"/>
  <c r="G321" i="5" s="1"/>
  <c r="J321" i="5" s="1"/>
  <c r="L321" i="5" s="1"/>
  <c r="F322" i="5"/>
  <c r="G322" i="5" s="1"/>
  <c r="N322" i="5" s="1"/>
  <c r="F323" i="5"/>
  <c r="G323" i="5" s="1"/>
  <c r="N323" i="5" s="1"/>
  <c r="F324" i="5"/>
  <c r="G324" i="5" s="1"/>
  <c r="N324" i="5" s="1"/>
  <c r="F325" i="5"/>
  <c r="G325" i="5" s="1"/>
  <c r="J325" i="5" s="1"/>
  <c r="L325" i="5" s="1"/>
  <c r="F302" i="5"/>
  <c r="G302" i="5" s="1"/>
  <c r="N302" i="5" s="1"/>
  <c r="F303" i="5"/>
  <c r="G303" i="5" s="1"/>
  <c r="N303" i="5" s="1"/>
  <c r="F304" i="5"/>
  <c r="G304" i="5" s="1"/>
  <c r="N304" i="5" s="1"/>
  <c r="F305" i="5"/>
  <c r="G305" i="5" s="1"/>
  <c r="J305" i="5" s="1"/>
  <c r="L305" i="5" s="1"/>
  <c r="F306" i="5"/>
  <c r="G306" i="5" s="1"/>
  <c r="N306" i="5" s="1"/>
  <c r="F307" i="5"/>
  <c r="G307" i="5" s="1"/>
  <c r="N307" i="5" s="1"/>
  <c r="F308" i="5"/>
  <c r="G308" i="5" s="1"/>
  <c r="N308" i="5" s="1"/>
  <c r="F309" i="5"/>
  <c r="G309" i="5" s="1"/>
  <c r="J309" i="5" s="1"/>
  <c r="L309" i="5" s="1"/>
  <c r="F310" i="5"/>
  <c r="G310" i="5" s="1"/>
  <c r="N310" i="5" s="1"/>
  <c r="F338" i="5"/>
  <c r="G338" i="5" s="1"/>
  <c r="N338" i="5" s="1"/>
  <c r="F339" i="5"/>
  <c r="G339" i="5" s="1"/>
  <c r="J339" i="5" s="1"/>
  <c r="L339" i="5" s="1"/>
  <c r="F340" i="5"/>
  <c r="G340" i="5" s="1"/>
  <c r="N340" i="5" s="1"/>
  <c r="F341" i="5"/>
  <c r="G341" i="5" s="1"/>
  <c r="N341" i="5" s="1"/>
  <c r="F342" i="5"/>
  <c r="G342" i="5" s="1"/>
  <c r="N342" i="5" s="1"/>
  <c r="F343" i="5"/>
  <c r="G343" i="5" s="1"/>
  <c r="J343" i="5" s="1"/>
  <c r="L343" i="5" s="1"/>
  <c r="F344" i="5"/>
  <c r="G344" i="5" s="1"/>
  <c r="N344" i="5" s="1"/>
  <c r="F345" i="5"/>
  <c r="G345" i="5" s="1"/>
  <c r="N345" i="5" s="1"/>
  <c r="F346" i="5"/>
  <c r="G346" i="5" s="1"/>
  <c r="N346" i="5" s="1"/>
  <c r="F347" i="5"/>
  <c r="G347" i="5" s="1"/>
  <c r="J347" i="5" s="1"/>
  <c r="L347" i="5" s="1"/>
  <c r="F348" i="5"/>
  <c r="G348" i="5" s="1"/>
  <c r="N348" i="5" s="1"/>
  <c r="F349" i="5"/>
  <c r="G349" i="5" s="1"/>
  <c r="N349" i="5" s="1"/>
  <c r="F350" i="5"/>
  <c r="G350" i="5" s="1"/>
  <c r="N350" i="5" s="1"/>
  <c r="F351" i="5"/>
  <c r="G351" i="5" s="1"/>
  <c r="J351" i="5" s="1"/>
  <c r="L351" i="5" s="1"/>
  <c r="F352" i="5"/>
  <c r="G352" i="5" s="1"/>
  <c r="N352" i="5" s="1"/>
  <c r="F353" i="5"/>
  <c r="G353" i="5" s="1"/>
  <c r="N353" i="5" s="1"/>
  <c r="F354" i="5"/>
  <c r="G354" i="5" s="1"/>
  <c r="N354" i="5" s="1"/>
  <c r="F355" i="5"/>
  <c r="G355" i="5" s="1"/>
  <c r="J355" i="5" s="1"/>
  <c r="L355" i="5" s="1"/>
  <c r="F356" i="5"/>
  <c r="G356" i="5" s="1"/>
  <c r="N356" i="5" s="1"/>
  <c r="E159" i="5"/>
  <c r="F159" i="5"/>
  <c r="E158" i="5"/>
  <c r="F158" i="5"/>
  <c r="E157" i="5"/>
  <c r="F157" i="5"/>
  <c r="F108" i="5"/>
  <c r="G108" i="5" s="1"/>
  <c r="E106" i="5"/>
  <c r="E107" i="5"/>
  <c r="F107" i="5"/>
  <c r="F249" i="5"/>
  <c r="G249" i="5" s="1"/>
  <c r="N249" i="5" s="1"/>
  <c r="E244" i="5"/>
  <c r="E243" i="5"/>
  <c r="E241" i="5"/>
  <c r="E240" i="5"/>
  <c r="E242" i="5"/>
  <c r="E235" i="5"/>
  <c r="E234" i="5"/>
  <c r="E233" i="5"/>
  <c r="E232" i="5"/>
  <c r="E231" i="5"/>
  <c r="E213" i="5"/>
  <c r="E212" i="5"/>
  <c r="F234" i="5"/>
  <c r="F235" i="5"/>
  <c r="F213" i="5"/>
  <c r="F227" i="5"/>
  <c r="G227" i="5" s="1"/>
  <c r="N227" i="5" s="1"/>
  <c r="F228" i="5"/>
  <c r="G228" i="5" s="1"/>
  <c r="J228" i="5" s="1"/>
  <c r="L228" i="5" s="1"/>
  <c r="F223" i="5"/>
  <c r="G223" i="5" s="1"/>
  <c r="J223" i="5" s="1"/>
  <c r="L223" i="5" s="1"/>
  <c r="F224" i="5"/>
  <c r="G224" i="5" s="1"/>
  <c r="N224" i="5" s="1"/>
  <c r="F229" i="5"/>
  <c r="G229" i="5" s="1"/>
  <c r="N229" i="5" s="1"/>
  <c r="F231" i="5"/>
  <c r="F232" i="5"/>
  <c r="F233" i="5"/>
  <c r="F240" i="5"/>
  <c r="F241" i="5"/>
  <c r="F243" i="5"/>
  <c r="F244" i="5"/>
  <c r="F218" i="5"/>
  <c r="G218" i="5" s="1"/>
  <c r="N218" i="5" s="1"/>
  <c r="F219" i="5"/>
  <c r="G219" i="5" s="1"/>
  <c r="J219" i="5" s="1"/>
  <c r="L219" i="5" s="1"/>
  <c r="F220" i="5"/>
  <c r="G220" i="5" s="1"/>
  <c r="N220" i="5" s="1"/>
  <c r="F221" i="5"/>
  <c r="G221" i="5" s="1"/>
  <c r="N221" i="5" s="1"/>
  <c r="F222" i="5"/>
  <c r="G222" i="5" s="1"/>
  <c r="N222" i="5" s="1"/>
  <c r="F226" i="5"/>
  <c r="G226" i="5" s="1"/>
  <c r="N226" i="5" s="1"/>
  <c r="F237" i="5"/>
  <c r="G237" i="5" s="1"/>
  <c r="N237" i="5" s="1"/>
  <c r="F210" i="5"/>
  <c r="F212" i="5"/>
  <c r="E204" i="5"/>
  <c r="F204" i="5"/>
  <c r="E178" i="5"/>
  <c r="E177" i="5"/>
  <c r="E180" i="5"/>
  <c r="E179" i="5"/>
  <c r="E176" i="5"/>
  <c r="E173" i="5"/>
  <c r="E172" i="5"/>
  <c r="E171" i="5"/>
  <c r="E170" i="5"/>
  <c r="E169" i="5"/>
  <c r="F184" i="5"/>
  <c r="G184" i="5" s="1"/>
  <c r="N184" i="5" s="1"/>
  <c r="F185" i="5"/>
  <c r="G185" i="5" s="1"/>
  <c r="N185" i="5" s="1"/>
  <c r="F186" i="5"/>
  <c r="G186" i="5" s="1"/>
  <c r="N186" i="5" s="1"/>
  <c r="F187" i="5"/>
  <c r="G187" i="5" s="1"/>
  <c r="N187" i="5" s="1"/>
  <c r="F188" i="5"/>
  <c r="G188" i="5" s="1"/>
  <c r="N188" i="5" s="1"/>
  <c r="F170" i="5"/>
  <c r="F171" i="5"/>
  <c r="F172" i="5"/>
  <c r="F173" i="5"/>
  <c r="F176" i="5"/>
  <c r="F177" i="5"/>
  <c r="F178" i="5"/>
  <c r="F179" i="5"/>
  <c r="F180" i="5"/>
  <c r="F183" i="5"/>
  <c r="G183" i="5" s="1"/>
  <c r="J183" i="5" s="1"/>
  <c r="L183" i="5" s="1"/>
  <c r="E164" i="5"/>
  <c r="E163" i="5"/>
  <c r="E129" i="5"/>
  <c r="E128" i="5"/>
  <c r="E127" i="5"/>
  <c r="F129" i="5"/>
  <c r="F128" i="5"/>
  <c r="E126" i="5"/>
  <c r="F127" i="5"/>
  <c r="F126" i="5"/>
  <c r="E123" i="5"/>
  <c r="E121" i="5"/>
  <c r="E119" i="5"/>
  <c r="E120" i="5"/>
  <c r="E118" i="5"/>
  <c r="F119" i="5"/>
  <c r="F120" i="5"/>
  <c r="F121" i="5"/>
  <c r="F123" i="5"/>
  <c r="E115" i="5"/>
  <c r="E113" i="5"/>
  <c r="E112" i="5"/>
  <c r="E111" i="5"/>
  <c r="F113" i="5"/>
  <c r="F112" i="5"/>
  <c r="F111" i="5"/>
  <c r="E110" i="5"/>
  <c r="E105" i="5"/>
  <c r="E104" i="5"/>
  <c r="E103" i="5"/>
  <c r="F118" i="5"/>
  <c r="F117" i="5"/>
  <c r="G117" i="5" s="1"/>
  <c r="F116" i="5"/>
  <c r="G116" i="5" s="1"/>
  <c r="F115" i="5"/>
  <c r="F110" i="5"/>
  <c r="E100" i="5"/>
  <c r="E99" i="5"/>
  <c r="F100" i="5"/>
  <c r="E96" i="5"/>
  <c r="E95" i="5"/>
  <c r="F96" i="5"/>
  <c r="E98" i="5"/>
  <c r="E94" i="5"/>
  <c r="F99" i="5"/>
  <c r="F98" i="5"/>
  <c r="E66" i="5"/>
  <c r="E63" i="5"/>
  <c r="E62" i="5"/>
  <c r="F63" i="5"/>
  <c r="F62" i="5"/>
  <c r="E61" i="5"/>
  <c r="E59" i="5"/>
  <c r="E58" i="5"/>
  <c r="F59" i="5"/>
  <c r="E55" i="5"/>
  <c r="E54" i="5"/>
  <c r="F55" i="5"/>
  <c r="E65" i="5"/>
  <c r="E57" i="5"/>
  <c r="E53" i="5"/>
  <c r="F66" i="5"/>
  <c r="F58" i="5"/>
  <c r="F54" i="5"/>
  <c r="F53" i="5"/>
  <c r="F57" i="5"/>
  <c r="F61" i="5"/>
  <c r="F65" i="5"/>
  <c r="E40" i="5"/>
  <c r="E39" i="5"/>
  <c r="N131" i="5" l="1"/>
  <c r="J131" i="5"/>
  <c r="L131" i="5" s="1"/>
  <c r="O131" i="5" s="1"/>
  <c r="N141" i="5"/>
  <c r="J141" i="5"/>
  <c r="L141" i="5" s="1"/>
  <c r="O141" i="5" s="1"/>
  <c r="J136" i="5"/>
  <c r="L136" i="5" s="1"/>
  <c r="O136" i="5" s="1"/>
  <c r="N136" i="5"/>
  <c r="N137" i="5"/>
  <c r="J137" i="5"/>
  <c r="L137" i="5" s="1"/>
  <c r="O137" i="5" s="1"/>
  <c r="N135" i="5"/>
  <c r="J135" i="5"/>
  <c r="L135" i="5" s="1"/>
  <c r="O135" i="5" s="1"/>
  <c r="N139" i="5"/>
  <c r="J139" i="5"/>
  <c r="L139" i="5" s="1"/>
  <c r="O139" i="5" s="1"/>
  <c r="O144" i="5"/>
  <c r="N134" i="5"/>
  <c r="O134" i="5" s="1"/>
  <c r="G68" i="5"/>
  <c r="N68" i="5" s="1"/>
  <c r="G78" i="5"/>
  <c r="N78" i="5" s="1"/>
  <c r="G148" i="5"/>
  <c r="G153" i="5"/>
  <c r="J145" i="5"/>
  <c r="L145" i="5" s="1"/>
  <c r="O145" i="5" s="1"/>
  <c r="G69" i="5"/>
  <c r="J69" i="5" s="1"/>
  <c r="L69" i="5" s="1"/>
  <c r="G74" i="5"/>
  <c r="N74" i="5" s="1"/>
  <c r="G149" i="5"/>
  <c r="J152" i="5"/>
  <c r="L152" i="5" s="1"/>
  <c r="O152" i="5" s="1"/>
  <c r="G151" i="5"/>
  <c r="J132" i="5"/>
  <c r="L132" i="5" s="1"/>
  <c r="O132" i="5" s="1"/>
  <c r="J140" i="5"/>
  <c r="L140" i="5" s="1"/>
  <c r="O140" i="5" s="1"/>
  <c r="J142" i="5"/>
  <c r="L142" i="5" s="1"/>
  <c r="O142" i="5" s="1"/>
  <c r="G20" i="5"/>
  <c r="G73" i="5"/>
  <c r="J73" i="5" s="1"/>
  <c r="L73" i="5" s="1"/>
  <c r="G77" i="5"/>
  <c r="N77" i="5" s="1"/>
  <c r="G70" i="5"/>
  <c r="N70" i="5" s="1"/>
  <c r="G72" i="5"/>
  <c r="N72" i="5" s="1"/>
  <c r="G80" i="5"/>
  <c r="G81" i="5"/>
  <c r="N76" i="5"/>
  <c r="J76" i="5"/>
  <c r="L76" i="5" s="1"/>
  <c r="O76" i="5" s="1"/>
  <c r="J74" i="5"/>
  <c r="L74" i="5" s="1"/>
  <c r="J72" i="5"/>
  <c r="L72" i="5" s="1"/>
  <c r="O72" i="5" s="1"/>
  <c r="G83" i="5"/>
  <c r="J83" i="5" s="1"/>
  <c r="L83" i="5" s="1"/>
  <c r="G88" i="5"/>
  <c r="N88" i="5" s="1"/>
  <c r="G84" i="5"/>
  <c r="J84" i="5" s="1"/>
  <c r="L84" i="5" s="1"/>
  <c r="G36" i="5"/>
  <c r="N36" i="5" s="1"/>
  <c r="G90" i="5"/>
  <c r="G26" i="5"/>
  <c r="J26" i="5" s="1"/>
  <c r="L26" i="5" s="1"/>
  <c r="G42" i="5"/>
  <c r="J42" i="5" s="1"/>
  <c r="L42" i="5" s="1"/>
  <c r="J78" i="5"/>
  <c r="L78" i="5" s="1"/>
  <c r="O78" i="5" s="1"/>
  <c r="G91" i="5"/>
  <c r="G43" i="5"/>
  <c r="N43" i="5" s="1"/>
  <c r="G87" i="5"/>
  <c r="N87" i="5" s="1"/>
  <c r="N85" i="5"/>
  <c r="J85" i="5"/>
  <c r="L85" i="5" s="1"/>
  <c r="G48" i="5"/>
  <c r="G27" i="5"/>
  <c r="N27" i="5" s="1"/>
  <c r="G49" i="5"/>
  <c r="G45" i="5"/>
  <c r="J45" i="5" s="1"/>
  <c r="L45" i="5" s="1"/>
  <c r="G50" i="5"/>
  <c r="G21" i="5"/>
  <c r="N21" i="5" s="1"/>
  <c r="N46" i="5"/>
  <c r="J46" i="5"/>
  <c r="L46" i="5" s="1"/>
  <c r="G35" i="5"/>
  <c r="N35" i="5" s="1"/>
  <c r="N20" i="5"/>
  <c r="G24" i="5"/>
  <c r="J18" i="5"/>
  <c r="L18" i="5" s="1"/>
  <c r="O18" i="5" s="1"/>
  <c r="J30" i="5"/>
  <c r="L30" i="5" s="1"/>
  <c r="O30" i="5" s="1"/>
  <c r="N339" i="5"/>
  <c r="O339" i="5" s="1"/>
  <c r="G23" i="5"/>
  <c r="G17" i="5"/>
  <c r="G33" i="5"/>
  <c r="N684" i="5"/>
  <c r="O684" i="5" s="1"/>
  <c r="G29" i="5"/>
  <c r="J688" i="5"/>
  <c r="L688" i="5" s="1"/>
  <c r="O688" i="5" s="1"/>
  <c r="G608" i="5"/>
  <c r="N608" i="5" s="1"/>
  <c r="N317" i="5"/>
  <c r="O317" i="5" s="1"/>
  <c r="G32" i="5"/>
  <c r="N343" i="5"/>
  <c r="O343" i="5" s="1"/>
  <c r="J645" i="5"/>
  <c r="L645" i="5" s="1"/>
  <c r="O645" i="5" s="1"/>
  <c r="J685" i="5"/>
  <c r="L685" i="5" s="1"/>
  <c r="O685" i="5" s="1"/>
  <c r="J713" i="5"/>
  <c r="L713" i="5" s="1"/>
  <c r="O713" i="5" s="1"/>
  <c r="J743" i="5"/>
  <c r="L743" i="5" s="1"/>
  <c r="O743" i="5" s="1"/>
  <c r="N305" i="5"/>
  <c r="O305" i="5" s="1"/>
  <c r="N347" i="5"/>
  <c r="O347" i="5" s="1"/>
  <c r="N742" i="5"/>
  <c r="O742" i="5" s="1"/>
  <c r="N309" i="5"/>
  <c r="O309" i="5" s="1"/>
  <c r="N351" i="5"/>
  <c r="O351" i="5" s="1"/>
  <c r="J744" i="5"/>
  <c r="L744" i="5" s="1"/>
  <c r="O744" i="5" s="1"/>
  <c r="N313" i="5"/>
  <c r="O313" i="5" s="1"/>
  <c r="N355" i="5"/>
  <c r="O355" i="5" s="1"/>
  <c r="N321" i="5"/>
  <c r="O321" i="5" s="1"/>
  <c r="N325" i="5"/>
  <c r="O325" i="5" s="1"/>
  <c r="J600" i="5"/>
  <c r="L600" i="5" s="1"/>
  <c r="O600" i="5" s="1"/>
  <c r="J601" i="5"/>
  <c r="L601" i="5" s="1"/>
  <c r="O601" i="5" s="1"/>
  <c r="J580" i="5"/>
  <c r="L580" i="5" s="1"/>
  <c r="O580" i="5" s="1"/>
  <c r="J586" i="5"/>
  <c r="L586" i="5" s="1"/>
  <c r="O586" i="5" s="1"/>
  <c r="N611" i="5"/>
  <c r="O611" i="5" s="1"/>
  <c r="N630" i="5"/>
  <c r="J630" i="5"/>
  <c r="L630" i="5" s="1"/>
  <c r="N625" i="5"/>
  <c r="O625" i="5" s="1"/>
  <c r="J302" i="5"/>
  <c r="L302" i="5" s="1"/>
  <c r="O302" i="5" s="1"/>
  <c r="J306" i="5"/>
  <c r="L306" i="5" s="1"/>
  <c r="O306" i="5" s="1"/>
  <c r="J310" i="5"/>
  <c r="L310" i="5" s="1"/>
  <c r="O310" i="5" s="1"/>
  <c r="J314" i="5"/>
  <c r="L314" i="5" s="1"/>
  <c r="O314" i="5" s="1"/>
  <c r="J318" i="5"/>
  <c r="L318" i="5" s="1"/>
  <c r="O318" i="5" s="1"/>
  <c r="J322" i="5"/>
  <c r="L322" i="5" s="1"/>
  <c r="O322" i="5" s="1"/>
  <c r="J340" i="5"/>
  <c r="L340" i="5" s="1"/>
  <c r="O340" i="5" s="1"/>
  <c r="J344" i="5"/>
  <c r="L344" i="5" s="1"/>
  <c r="O344" i="5" s="1"/>
  <c r="J348" i="5"/>
  <c r="L348" i="5" s="1"/>
  <c r="O348" i="5" s="1"/>
  <c r="J352" i="5"/>
  <c r="L352" i="5" s="1"/>
  <c r="O352" i="5" s="1"/>
  <c r="J356" i="5"/>
  <c r="L356" i="5" s="1"/>
  <c r="O356" i="5" s="1"/>
  <c r="J303" i="5"/>
  <c r="L303" i="5" s="1"/>
  <c r="O303" i="5" s="1"/>
  <c r="J307" i="5"/>
  <c r="L307" i="5" s="1"/>
  <c r="O307" i="5" s="1"/>
  <c r="J311" i="5"/>
  <c r="L311" i="5" s="1"/>
  <c r="O311" i="5" s="1"/>
  <c r="J315" i="5"/>
  <c r="L315" i="5" s="1"/>
  <c r="O315" i="5" s="1"/>
  <c r="J319" i="5"/>
  <c r="L319" i="5" s="1"/>
  <c r="O319" i="5" s="1"/>
  <c r="J323" i="5"/>
  <c r="L323" i="5" s="1"/>
  <c r="O323" i="5" s="1"/>
  <c r="J331" i="5"/>
  <c r="L331" i="5" s="1"/>
  <c r="O331" i="5" s="1"/>
  <c r="J341" i="5"/>
  <c r="L341" i="5" s="1"/>
  <c r="O341" i="5" s="1"/>
  <c r="J345" i="5"/>
  <c r="L345" i="5" s="1"/>
  <c r="O345" i="5" s="1"/>
  <c r="J349" i="5"/>
  <c r="L349" i="5" s="1"/>
  <c r="O349" i="5" s="1"/>
  <c r="J353" i="5"/>
  <c r="L353" i="5" s="1"/>
  <c r="O353" i="5" s="1"/>
  <c r="J615" i="5"/>
  <c r="L615" i="5" s="1"/>
  <c r="O615" i="5" s="1"/>
  <c r="J623" i="5"/>
  <c r="L623" i="5" s="1"/>
  <c r="O623" i="5" s="1"/>
  <c r="J304" i="5"/>
  <c r="L304" i="5" s="1"/>
  <c r="O304" i="5" s="1"/>
  <c r="J308" i="5"/>
  <c r="L308" i="5" s="1"/>
  <c r="O308" i="5" s="1"/>
  <c r="J312" i="5"/>
  <c r="L312" i="5" s="1"/>
  <c r="O312" i="5" s="1"/>
  <c r="J316" i="5"/>
  <c r="L316" i="5" s="1"/>
  <c r="O316" i="5" s="1"/>
  <c r="J320" i="5"/>
  <c r="L320" i="5" s="1"/>
  <c r="O320" i="5" s="1"/>
  <c r="J324" i="5"/>
  <c r="L324" i="5" s="1"/>
  <c r="O324" i="5" s="1"/>
  <c r="J338" i="5"/>
  <c r="L338" i="5" s="1"/>
  <c r="O338" i="5" s="1"/>
  <c r="J342" i="5"/>
  <c r="L342" i="5" s="1"/>
  <c r="O342" i="5" s="1"/>
  <c r="J346" i="5"/>
  <c r="L346" i="5" s="1"/>
  <c r="O346" i="5" s="1"/>
  <c r="J350" i="5"/>
  <c r="L350" i="5" s="1"/>
  <c r="O350" i="5" s="1"/>
  <c r="J354" i="5"/>
  <c r="L354" i="5" s="1"/>
  <c r="O354" i="5" s="1"/>
  <c r="J624" i="5"/>
  <c r="L624" i="5" s="1"/>
  <c r="O624" i="5" s="1"/>
  <c r="J271" i="5"/>
  <c r="L271" i="5" s="1"/>
  <c r="O271" i="5" s="1"/>
  <c r="J275" i="5"/>
  <c r="L275" i="5" s="1"/>
  <c r="O275" i="5" s="1"/>
  <c r="N191" i="5"/>
  <c r="O191" i="5" s="1"/>
  <c r="N194" i="5"/>
  <c r="O194" i="5" s="1"/>
  <c r="J267" i="5"/>
  <c r="L267" i="5" s="1"/>
  <c r="O267" i="5" s="1"/>
  <c r="J272" i="5"/>
  <c r="L272" i="5" s="1"/>
  <c r="O272" i="5" s="1"/>
  <c r="J276" i="5"/>
  <c r="L276" i="5" s="1"/>
  <c r="O276" i="5" s="1"/>
  <c r="J282" i="5"/>
  <c r="L282" i="5" s="1"/>
  <c r="O282" i="5" s="1"/>
  <c r="N219" i="5"/>
  <c r="O219" i="5" s="1"/>
  <c r="N223" i="5"/>
  <c r="O223" i="5" s="1"/>
  <c r="J273" i="5"/>
  <c r="L273" i="5" s="1"/>
  <c r="O273" i="5" s="1"/>
  <c r="J277" i="5"/>
  <c r="L277" i="5" s="1"/>
  <c r="O277" i="5" s="1"/>
  <c r="J283" i="5"/>
  <c r="L283" i="5" s="1"/>
  <c r="O283" i="5" s="1"/>
  <c r="N228" i="5"/>
  <c r="O228" i="5" s="1"/>
  <c r="J270" i="5"/>
  <c r="L270" i="5" s="1"/>
  <c r="O270" i="5" s="1"/>
  <c r="J274" i="5"/>
  <c r="L274" i="5" s="1"/>
  <c r="O274" i="5" s="1"/>
  <c r="J278" i="5"/>
  <c r="L278" i="5" s="1"/>
  <c r="O278" i="5" s="1"/>
  <c r="J284" i="5"/>
  <c r="L284" i="5" s="1"/>
  <c r="O284" i="5" s="1"/>
  <c r="J286" i="5"/>
  <c r="L286" i="5" s="1"/>
  <c r="O286" i="5" s="1"/>
  <c r="J186" i="5"/>
  <c r="L186" i="5" s="1"/>
  <c r="O186" i="5" s="1"/>
  <c r="N201" i="5"/>
  <c r="O201" i="5" s="1"/>
  <c r="N183" i="5"/>
  <c r="O183" i="5" s="1"/>
  <c r="J192" i="5"/>
  <c r="L192" i="5" s="1"/>
  <c r="O192" i="5" s="1"/>
  <c r="J197" i="5"/>
  <c r="L197" i="5" s="1"/>
  <c r="O197" i="5" s="1"/>
  <c r="J220" i="5"/>
  <c r="L220" i="5" s="1"/>
  <c r="O220" i="5" s="1"/>
  <c r="J224" i="5"/>
  <c r="L224" i="5" s="1"/>
  <c r="O224" i="5" s="1"/>
  <c r="J229" i="5"/>
  <c r="L229" i="5" s="1"/>
  <c r="O229" i="5" s="1"/>
  <c r="J253" i="5"/>
  <c r="L253" i="5" s="1"/>
  <c r="O253" i="5" s="1"/>
  <c r="J184" i="5"/>
  <c r="L184" i="5" s="1"/>
  <c r="O184" i="5" s="1"/>
  <c r="J187" i="5"/>
  <c r="L187" i="5" s="1"/>
  <c r="O187" i="5" s="1"/>
  <c r="J198" i="5"/>
  <c r="L198" i="5" s="1"/>
  <c r="O198" i="5" s="1"/>
  <c r="J221" i="5"/>
  <c r="L221" i="5" s="1"/>
  <c r="O221" i="5" s="1"/>
  <c r="J226" i="5"/>
  <c r="L226" i="5" s="1"/>
  <c r="O226" i="5" s="1"/>
  <c r="J248" i="5"/>
  <c r="L248" i="5" s="1"/>
  <c r="O248" i="5" s="1"/>
  <c r="J254" i="5"/>
  <c r="L254" i="5" s="1"/>
  <c r="O254" i="5" s="1"/>
  <c r="J188" i="5"/>
  <c r="L188" i="5" s="1"/>
  <c r="O188" i="5" s="1"/>
  <c r="J193" i="5"/>
  <c r="L193" i="5" s="1"/>
  <c r="O193" i="5" s="1"/>
  <c r="J185" i="5"/>
  <c r="L185" i="5" s="1"/>
  <c r="O185" i="5" s="1"/>
  <c r="J218" i="5"/>
  <c r="L218" i="5" s="1"/>
  <c r="O218" i="5" s="1"/>
  <c r="J222" i="5"/>
  <c r="L222" i="5" s="1"/>
  <c r="O222" i="5" s="1"/>
  <c r="J227" i="5"/>
  <c r="L227" i="5" s="1"/>
  <c r="O227" i="5" s="1"/>
  <c r="J237" i="5"/>
  <c r="L237" i="5" s="1"/>
  <c r="O237" i="5" s="1"/>
  <c r="J249" i="5"/>
  <c r="L249" i="5" s="1"/>
  <c r="O249" i="5" s="1"/>
  <c r="G606" i="5"/>
  <c r="G607" i="5"/>
  <c r="G620" i="5"/>
  <c r="G604" i="5"/>
  <c r="G579" i="5"/>
  <c r="G589" i="5"/>
  <c r="G594" i="5"/>
  <c r="G596" i="5"/>
  <c r="G595" i="5"/>
  <c r="G597" i="5"/>
  <c r="G581" i="5"/>
  <c r="G588" i="5"/>
  <c r="G593" i="5"/>
  <c r="G590" i="5"/>
  <c r="G583" i="5"/>
  <c r="G567" i="5"/>
  <c r="G587" i="5"/>
  <c r="G582" i="5"/>
  <c r="G575" i="5"/>
  <c r="G576" i="5"/>
  <c r="G557" i="5"/>
  <c r="G562" i="5"/>
  <c r="N562" i="5" s="1"/>
  <c r="G531" i="5"/>
  <c r="G614" i="5"/>
  <c r="G537" i="5"/>
  <c r="G570" i="5"/>
  <c r="G573" i="5"/>
  <c r="G574" i="5"/>
  <c r="G555" i="5"/>
  <c r="G560" i="5"/>
  <c r="G564" i="5"/>
  <c r="G569" i="5"/>
  <c r="G568" i="5"/>
  <c r="G519" i="5"/>
  <c r="G554" i="5"/>
  <c r="G563" i="5"/>
  <c r="G556" i="5"/>
  <c r="G561" i="5"/>
  <c r="G530" i="5"/>
  <c r="G538" i="5"/>
  <c r="G548" i="5"/>
  <c r="G549" i="5"/>
  <c r="G550" i="5"/>
  <c r="G551" i="5"/>
  <c r="G523" i="5"/>
  <c r="G542" i="5"/>
  <c r="G543" i="5"/>
  <c r="G544" i="5"/>
  <c r="G532" i="5"/>
  <c r="G536" i="5"/>
  <c r="G545" i="5"/>
  <c r="G541" i="5"/>
  <c r="G535" i="5"/>
  <c r="G529" i="5"/>
  <c r="G525" i="5"/>
  <c r="G517" i="5"/>
  <c r="G526" i="5"/>
  <c r="G524" i="5"/>
  <c r="G520" i="5"/>
  <c r="G513" i="5"/>
  <c r="G514" i="5"/>
  <c r="G518" i="5"/>
  <c r="G497" i="5"/>
  <c r="G506" i="5"/>
  <c r="G510" i="5"/>
  <c r="G511" i="5"/>
  <c r="G507" i="5"/>
  <c r="G512" i="5"/>
  <c r="G469" i="5"/>
  <c r="G504" i="5"/>
  <c r="G505" i="5"/>
  <c r="G485" i="5"/>
  <c r="G498" i="5"/>
  <c r="G499" i="5"/>
  <c r="G500" i="5"/>
  <c r="G491" i="5"/>
  <c r="G501" i="5"/>
  <c r="G493" i="5"/>
  <c r="G488" i="5"/>
  <c r="G494" i="5"/>
  <c r="G486" i="5"/>
  <c r="G492" i="5"/>
  <c r="G440" i="5"/>
  <c r="G456" i="5"/>
  <c r="G466" i="5"/>
  <c r="G487" i="5"/>
  <c r="G428" i="5"/>
  <c r="G417" i="5"/>
  <c r="G431" i="5"/>
  <c r="G445" i="5"/>
  <c r="G397" i="5"/>
  <c r="G452" i="5"/>
  <c r="G481" i="5"/>
  <c r="G432" i="5"/>
  <c r="G470" i="5"/>
  <c r="G482" i="5"/>
  <c r="G467" i="5"/>
  <c r="J467" i="5" s="1"/>
  <c r="L467" i="5" s="1"/>
  <c r="G480" i="5"/>
  <c r="G476" i="5"/>
  <c r="G475" i="5"/>
  <c r="G473" i="5"/>
  <c r="G477" i="5"/>
  <c r="G474" i="5"/>
  <c r="J474" i="5" s="1"/>
  <c r="L474" i="5" s="1"/>
  <c r="G468" i="5"/>
  <c r="G439" i="5"/>
  <c r="G455" i="5"/>
  <c r="G398" i="5"/>
  <c r="G400" i="5"/>
  <c r="G449" i="5"/>
  <c r="G453" i="5"/>
  <c r="J453" i="5" s="1"/>
  <c r="L453" i="5" s="1"/>
  <c r="G459" i="5"/>
  <c r="G463" i="5"/>
  <c r="G460" i="5"/>
  <c r="J460" i="5" s="1"/>
  <c r="L460" i="5" s="1"/>
  <c r="G462" i="5"/>
  <c r="G461" i="5"/>
  <c r="G433" i="5"/>
  <c r="G454" i="5"/>
  <c r="G442" i="5"/>
  <c r="G434" i="5"/>
  <c r="G427" i="5"/>
  <c r="G446" i="5"/>
  <c r="N446" i="5" s="1"/>
  <c r="G448" i="5"/>
  <c r="G447" i="5"/>
  <c r="G413" i="5"/>
  <c r="G438" i="5"/>
  <c r="G421" i="5"/>
  <c r="G435" i="5"/>
  <c r="G441" i="5"/>
  <c r="G425" i="5"/>
  <c r="G414" i="5"/>
  <c r="G426" i="5"/>
  <c r="G411" i="5"/>
  <c r="G412" i="5"/>
  <c r="G424" i="5"/>
  <c r="G418" i="5"/>
  <c r="G420" i="5"/>
  <c r="G419" i="5"/>
  <c r="G396" i="5"/>
  <c r="G399" i="5"/>
  <c r="G410" i="5"/>
  <c r="G406" i="5"/>
  <c r="G403" i="5"/>
  <c r="G407" i="5"/>
  <c r="G404" i="5"/>
  <c r="G405" i="5"/>
  <c r="G393" i="5"/>
  <c r="G384" i="5"/>
  <c r="G390" i="5"/>
  <c r="G385" i="5"/>
  <c r="G389" i="5"/>
  <c r="G391" i="5"/>
  <c r="G392" i="5"/>
  <c r="G382" i="5"/>
  <c r="G386" i="5"/>
  <c r="G383" i="5"/>
  <c r="G619" i="5"/>
  <c r="G235" i="5"/>
  <c r="G682" i="5"/>
  <c r="G107" i="5"/>
  <c r="J107" i="5" s="1"/>
  <c r="L107" i="5" s="1"/>
  <c r="G158" i="5"/>
  <c r="J158" i="5" s="1"/>
  <c r="L158" i="5" s="1"/>
  <c r="G159" i="5"/>
  <c r="N159" i="5" s="1"/>
  <c r="G157" i="5"/>
  <c r="G243" i="5"/>
  <c r="J108" i="5"/>
  <c r="L108" i="5" s="1"/>
  <c r="N108" i="5"/>
  <c r="G244" i="5"/>
  <c r="G241" i="5"/>
  <c r="G234" i="5"/>
  <c r="G240" i="5"/>
  <c r="G231" i="5"/>
  <c r="G232" i="5"/>
  <c r="G212" i="5"/>
  <c r="G233" i="5"/>
  <c r="G213" i="5"/>
  <c r="G210" i="5"/>
  <c r="G179" i="5"/>
  <c r="G204" i="5"/>
  <c r="G176" i="5"/>
  <c r="G170" i="5"/>
  <c r="G173" i="5"/>
  <c r="G172" i="5"/>
  <c r="G180" i="5"/>
  <c r="G178" i="5"/>
  <c r="G177" i="5"/>
  <c r="G171" i="5"/>
  <c r="G127" i="5"/>
  <c r="N127" i="5" s="1"/>
  <c r="G129" i="5"/>
  <c r="J129" i="5" s="1"/>
  <c r="L129" i="5" s="1"/>
  <c r="G128" i="5"/>
  <c r="J128" i="5" s="1"/>
  <c r="L128" i="5" s="1"/>
  <c r="G126" i="5"/>
  <c r="N126" i="5" s="1"/>
  <c r="G120" i="5"/>
  <c r="J120" i="5" s="1"/>
  <c r="L120" i="5" s="1"/>
  <c r="G121" i="5"/>
  <c r="J121" i="5" s="1"/>
  <c r="L121" i="5" s="1"/>
  <c r="G118" i="5"/>
  <c r="N118" i="5" s="1"/>
  <c r="G123" i="5"/>
  <c r="J123" i="5" s="1"/>
  <c r="L123" i="5" s="1"/>
  <c r="G119" i="5"/>
  <c r="J119" i="5" s="1"/>
  <c r="L119" i="5" s="1"/>
  <c r="G110" i="5"/>
  <c r="J110" i="5" s="1"/>
  <c r="L110" i="5" s="1"/>
  <c r="G112" i="5"/>
  <c r="N112" i="5" s="1"/>
  <c r="G115" i="5"/>
  <c r="J115" i="5" s="1"/>
  <c r="L115" i="5" s="1"/>
  <c r="G96" i="5"/>
  <c r="J96" i="5" s="1"/>
  <c r="L96" i="5" s="1"/>
  <c r="G113" i="5"/>
  <c r="J113" i="5" s="1"/>
  <c r="L113" i="5" s="1"/>
  <c r="G111" i="5"/>
  <c r="N111" i="5" s="1"/>
  <c r="J116" i="5"/>
  <c r="L116" i="5" s="1"/>
  <c r="N116" i="5"/>
  <c r="N117" i="5"/>
  <c r="J117" i="5"/>
  <c r="L117" i="5" s="1"/>
  <c r="G99" i="5"/>
  <c r="N99" i="5" s="1"/>
  <c r="G100" i="5"/>
  <c r="J100" i="5" s="1"/>
  <c r="L100" i="5" s="1"/>
  <c r="G55" i="5"/>
  <c r="N55" i="5" s="1"/>
  <c r="G98" i="5"/>
  <c r="J98" i="5" s="1"/>
  <c r="L98" i="5" s="1"/>
  <c r="G66" i="5"/>
  <c r="G62" i="5"/>
  <c r="G54" i="5"/>
  <c r="N54" i="5" s="1"/>
  <c r="G63" i="5"/>
  <c r="N63" i="5" s="1"/>
  <c r="G59" i="5"/>
  <c r="J59" i="5" s="1"/>
  <c r="L59" i="5" s="1"/>
  <c r="G53" i="5"/>
  <c r="N53" i="5" s="1"/>
  <c r="G58" i="5"/>
  <c r="N58" i="5" s="1"/>
  <c r="G65" i="5"/>
  <c r="J65" i="5" s="1"/>
  <c r="L65" i="5" s="1"/>
  <c r="G61" i="5"/>
  <c r="G57" i="5"/>
  <c r="J57" i="5" s="1"/>
  <c r="L57" i="5" s="1"/>
  <c r="F379" i="5"/>
  <c r="F378" i="5"/>
  <c r="G378" i="5" s="1"/>
  <c r="F377" i="5"/>
  <c r="F376" i="5"/>
  <c r="F375" i="5"/>
  <c r="F372" i="5"/>
  <c r="F371" i="5"/>
  <c r="F370" i="5"/>
  <c r="F369" i="5"/>
  <c r="F368" i="5"/>
  <c r="N149" i="5" l="1"/>
  <c r="J149" i="5"/>
  <c r="L149" i="5" s="1"/>
  <c r="O149" i="5" s="1"/>
  <c r="J77" i="5"/>
  <c r="L77" i="5" s="1"/>
  <c r="O77" i="5" s="1"/>
  <c r="J20" i="5"/>
  <c r="L20" i="5" s="1"/>
  <c r="O20" i="5" s="1"/>
  <c r="N42" i="5"/>
  <c r="O74" i="5"/>
  <c r="J68" i="5"/>
  <c r="L68" i="5" s="1"/>
  <c r="O68" i="5" s="1"/>
  <c r="J153" i="5"/>
  <c r="L153" i="5" s="1"/>
  <c r="O153" i="5" s="1"/>
  <c r="N153" i="5"/>
  <c r="N73" i="5"/>
  <c r="O73" i="5" s="1"/>
  <c r="N148" i="5"/>
  <c r="J148" i="5"/>
  <c r="L148" i="5" s="1"/>
  <c r="N69" i="5"/>
  <c r="O69" i="5" s="1"/>
  <c r="N151" i="5"/>
  <c r="J151" i="5"/>
  <c r="L151" i="5" s="1"/>
  <c r="J87" i="5"/>
  <c r="L87" i="5" s="1"/>
  <c r="O87" i="5" s="1"/>
  <c r="J70" i="5"/>
  <c r="L70" i="5" s="1"/>
  <c r="O70" i="5" s="1"/>
  <c r="N84" i="5"/>
  <c r="O84" i="5" s="1"/>
  <c r="N83" i="5"/>
  <c r="O83" i="5" s="1"/>
  <c r="J36" i="5"/>
  <c r="L36" i="5" s="1"/>
  <c r="O36" i="5" s="1"/>
  <c r="N91" i="5"/>
  <c r="J91" i="5"/>
  <c r="L91" i="5" s="1"/>
  <c r="N81" i="5"/>
  <c r="J81" i="5"/>
  <c r="L81" i="5" s="1"/>
  <c r="N80" i="5"/>
  <c r="J80" i="5"/>
  <c r="L80" i="5" s="1"/>
  <c r="N26" i="5"/>
  <c r="O26" i="5" s="1"/>
  <c r="N90" i="5"/>
  <c r="J90" i="5"/>
  <c r="L90" i="5" s="1"/>
  <c r="J88" i="5"/>
  <c r="L88" i="5" s="1"/>
  <c r="O88" i="5" s="1"/>
  <c r="J43" i="5"/>
  <c r="L43" i="5" s="1"/>
  <c r="O43" i="5" s="1"/>
  <c r="J35" i="5"/>
  <c r="L35" i="5" s="1"/>
  <c r="O35" i="5" s="1"/>
  <c r="O85" i="5"/>
  <c r="N49" i="5"/>
  <c r="J49" i="5"/>
  <c r="L49" i="5" s="1"/>
  <c r="O42" i="5"/>
  <c r="N45" i="5"/>
  <c r="O45" i="5" s="1"/>
  <c r="N48" i="5"/>
  <c r="J48" i="5"/>
  <c r="L48" i="5" s="1"/>
  <c r="O46" i="5"/>
  <c r="J27" i="5"/>
  <c r="L27" i="5" s="1"/>
  <c r="O27" i="5" s="1"/>
  <c r="N50" i="5"/>
  <c r="J50" i="5"/>
  <c r="L50" i="5" s="1"/>
  <c r="J21" i="5"/>
  <c r="L21" i="5" s="1"/>
  <c r="O21" i="5" s="1"/>
  <c r="J608" i="5"/>
  <c r="L608" i="5" s="1"/>
  <c r="O608" i="5" s="1"/>
  <c r="N29" i="5"/>
  <c r="J29" i="5"/>
  <c r="L29" i="5" s="1"/>
  <c r="N33" i="5"/>
  <c r="J33" i="5"/>
  <c r="L33" i="5" s="1"/>
  <c r="N17" i="5"/>
  <c r="J17" i="5"/>
  <c r="L17" i="5" s="1"/>
  <c r="J32" i="5"/>
  <c r="L32" i="5" s="1"/>
  <c r="N32" i="5"/>
  <c r="N23" i="5"/>
  <c r="J23" i="5"/>
  <c r="L23" i="5" s="1"/>
  <c r="N24" i="5"/>
  <c r="J24" i="5"/>
  <c r="L24" i="5" s="1"/>
  <c r="J682" i="5"/>
  <c r="L682" i="5" s="1"/>
  <c r="N682" i="5"/>
  <c r="N474" i="5"/>
  <c r="O474" i="5" s="1"/>
  <c r="N467" i="5"/>
  <c r="O467" i="5" s="1"/>
  <c r="N460" i="5"/>
  <c r="O460" i="5" s="1"/>
  <c r="N453" i="5"/>
  <c r="O453" i="5" s="1"/>
  <c r="N555" i="5"/>
  <c r="J555" i="5"/>
  <c r="L555" i="5" s="1"/>
  <c r="N512" i="5"/>
  <c r="J512" i="5"/>
  <c r="L512" i="5" s="1"/>
  <c r="N492" i="5"/>
  <c r="J492" i="5"/>
  <c r="L492" i="5" s="1"/>
  <c r="N524" i="5"/>
  <c r="J524" i="5"/>
  <c r="L524" i="5" s="1"/>
  <c r="J486" i="5"/>
  <c r="L486" i="5" s="1"/>
  <c r="N486" i="5"/>
  <c r="J536" i="5"/>
  <c r="L536" i="5" s="1"/>
  <c r="N536" i="5"/>
  <c r="N499" i="5"/>
  <c r="J499" i="5"/>
  <c r="L499" i="5" s="1"/>
  <c r="N505" i="5"/>
  <c r="J505" i="5"/>
  <c r="L505" i="5" s="1"/>
  <c r="N543" i="5"/>
  <c r="J543" i="5"/>
  <c r="L543" i="5" s="1"/>
  <c r="N530" i="5"/>
  <c r="J530" i="5"/>
  <c r="L530" i="5" s="1"/>
  <c r="N549" i="5"/>
  <c r="J549" i="5"/>
  <c r="L549" i="5" s="1"/>
  <c r="N518" i="5"/>
  <c r="J518" i="5"/>
  <c r="L518" i="5" s="1"/>
  <c r="N604" i="5"/>
  <c r="J604" i="5"/>
  <c r="L604" i="5" s="1"/>
  <c r="N589" i="5"/>
  <c r="J589" i="5"/>
  <c r="L589" i="5" s="1"/>
  <c r="J500" i="5"/>
  <c r="L500" i="5" s="1"/>
  <c r="N500" i="5"/>
  <c r="J550" i="5"/>
  <c r="L550" i="5" s="1"/>
  <c r="N550" i="5"/>
  <c r="N575" i="5"/>
  <c r="J575" i="5"/>
  <c r="L575" i="5" s="1"/>
  <c r="N506" i="5"/>
  <c r="J506" i="5"/>
  <c r="L506" i="5" s="1"/>
  <c r="N544" i="5"/>
  <c r="J544" i="5"/>
  <c r="L544" i="5" s="1"/>
  <c r="N569" i="5"/>
  <c r="J569" i="5"/>
  <c r="L569" i="5" s="1"/>
  <c r="J525" i="5"/>
  <c r="L525" i="5" s="1"/>
  <c r="N525" i="5"/>
  <c r="N531" i="5"/>
  <c r="J531" i="5"/>
  <c r="L531" i="5" s="1"/>
  <c r="N519" i="5"/>
  <c r="J519" i="5"/>
  <c r="L519" i="5" s="1"/>
  <c r="N537" i="5"/>
  <c r="J537" i="5"/>
  <c r="L537" i="5" s="1"/>
  <c r="N487" i="5"/>
  <c r="J487" i="5"/>
  <c r="L487" i="5" s="1"/>
  <c r="N493" i="5"/>
  <c r="J493" i="5"/>
  <c r="L493" i="5" s="1"/>
  <c r="N556" i="5"/>
  <c r="J556" i="5"/>
  <c r="L556" i="5" s="1"/>
  <c r="N582" i="5"/>
  <c r="J582" i="5"/>
  <c r="L582" i="5" s="1"/>
  <c r="N513" i="5"/>
  <c r="J513" i="5"/>
  <c r="L513" i="5" s="1"/>
  <c r="N563" i="5"/>
  <c r="J563" i="5"/>
  <c r="L563" i="5" s="1"/>
  <c r="N596" i="5"/>
  <c r="J596" i="5"/>
  <c r="L596" i="5" s="1"/>
  <c r="N568" i="5"/>
  <c r="J568" i="5"/>
  <c r="L568" i="5" s="1"/>
  <c r="N581" i="5"/>
  <c r="J581" i="5"/>
  <c r="L581" i="5" s="1"/>
  <c r="N595" i="5"/>
  <c r="J595" i="5"/>
  <c r="L595" i="5" s="1"/>
  <c r="N574" i="5"/>
  <c r="J574" i="5"/>
  <c r="L574" i="5" s="1"/>
  <c r="N588" i="5"/>
  <c r="J588" i="5"/>
  <c r="L588" i="5" s="1"/>
  <c r="N520" i="5"/>
  <c r="J520" i="5"/>
  <c r="L520" i="5" s="1"/>
  <c r="J526" i="5"/>
  <c r="L526" i="5" s="1"/>
  <c r="N526" i="5"/>
  <c r="N532" i="5"/>
  <c r="J532" i="5"/>
  <c r="L532" i="5" s="1"/>
  <c r="N386" i="5"/>
  <c r="J386" i="5"/>
  <c r="L386" i="5" s="1"/>
  <c r="N463" i="5"/>
  <c r="J463" i="5"/>
  <c r="L463" i="5" s="1"/>
  <c r="N482" i="5"/>
  <c r="J482" i="5"/>
  <c r="L482" i="5" s="1"/>
  <c r="N494" i="5"/>
  <c r="J494" i="5"/>
  <c r="L494" i="5" s="1"/>
  <c r="N538" i="5"/>
  <c r="J538" i="5"/>
  <c r="L538" i="5" s="1"/>
  <c r="N507" i="5"/>
  <c r="J507" i="5"/>
  <c r="L507" i="5" s="1"/>
  <c r="N407" i="5"/>
  <c r="J407" i="5"/>
  <c r="L407" i="5" s="1"/>
  <c r="N435" i="5"/>
  <c r="J435" i="5"/>
  <c r="L435" i="5" s="1"/>
  <c r="N470" i="5"/>
  <c r="J470" i="5"/>
  <c r="L470" i="5" s="1"/>
  <c r="N428" i="5"/>
  <c r="J428" i="5"/>
  <c r="L428" i="5" s="1"/>
  <c r="N488" i="5"/>
  <c r="J488" i="5"/>
  <c r="L488" i="5" s="1"/>
  <c r="N564" i="5"/>
  <c r="J564" i="5"/>
  <c r="L564" i="5" s="1"/>
  <c r="N583" i="5"/>
  <c r="J583" i="5"/>
  <c r="L583" i="5" s="1"/>
  <c r="N545" i="5"/>
  <c r="J545" i="5"/>
  <c r="L545" i="5" s="1"/>
  <c r="J421" i="5"/>
  <c r="L421" i="5" s="1"/>
  <c r="N421" i="5"/>
  <c r="N442" i="5"/>
  <c r="J442" i="5"/>
  <c r="L442" i="5" s="1"/>
  <c r="J477" i="5"/>
  <c r="L477" i="5" s="1"/>
  <c r="N477" i="5"/>
  <c r="N590" i="5"/>
  <c r="J590" i="5"/>
  <c r="L590" i="5" s="1"/>
  <c r="N597" i="5"/>
  <c r="J597" i="5"/>
  <c r="L597" i="5" s="1"/>
  <c r="N414" i="5"/>
  <c r="J414" i="5"/>
  <c r="L414" i="5" s="1"/>
  <c r="N570" i="5"/>
  <c r="J570" i="5"/>
  <c r="L570" i="5" s="1"/>
  <c r="J449" i="5"/>
  <c r="L449" i="5" s="1"/>
  <c r="N449" i="5"/>
  <c r="J501" i="5"/>
  <c r="L501" i="5" s="1"/>
  <c r="N501" i="5"/>
  <c r="N514" i="5"/>
  <c r="J514" i="5"/>
  <c r="L514" i="5" s="1"/>
  <c r="N557" i="5"/>
  <c r="J557" i="5"/>
  <c r="L557" i="5" s="1"/>
  <c r="J393" i="5"/>
  <c r="L393" i="5" s="1"/>
  <c r="N393" i="5"/>
  <c r="N400" i="5"/>
  <c r="J400" i="5"/>
  <c r="L400" i="5" s="1"/>
  <c r="N456" i="5"/>
  <c r="J456" i="5"/>
  <c r="L456" i="5" s="1"/>
  <c r="J551" i="5"/>
  <c r="L551" i="5" s="1"/>
  <c r="N551" i="5"/>
  <c r="N576" i="5"/>
  <c r="J576" i="5"/>
  <c r="L576" i="5" s="1"/>
  <c r="J455" i="5"/>
  <c r="L455" i="5" s="1"/>
  <c r="N455" i="5"/>
  <c r="N399" i="5"/>
  <c r="J399" i="5"/>
  <c r="L399" i="5" s="1"/>
  <c r="N476" i="5"/>
  <c r="J476" i="5"/>
  <c r="L476" i="5" s="1"/>
  <c r="N462" i="5"/>
  <c r="J462" i="5"/>
  <c r="L462" i="5" s="1"/>
  <c r="N378" i="5"/>
  <c r="J378" i="5"/>
  <c r="L378" i="5" s="1"/>
  <c r="J392" i="5"/>
  <c r="L392" i="5" s="1"/>
  <c r="N392" i="5"/>
  <c r="N420" i="5"/>
  <c r="J420" i="5"/>
  <c r="L420" i="5" s="1"/>
  <c r="N441" i="5"/>
  <c r="J441" i="5"/>
  <c r="L441" i="5" s="1"/>
  <c r="N427" i="5"/>
  <c r="J427" i="5"/>
  <c r="L427" i="5" s="1"/>
  <c r="N448" i="5"/>
  <c r="J448" i="5"/>
  <c r="L448" i="5" s="1"/>
  <c r="J434" i="5"/>
  <c r="L434" i="5" s="1"/>
  <c r="N434" i="5"/>
  <c r="N385" i="5"/>
  <c r="J385" i="5"/>
  <c r="L385" i="5" s="1"/>
  <c r="N406" i="5"/>
  <c r="J406" i="5"/>
  <c r="L406" i="5" s="1"/>
  <c r="N469" i="5"/>
  <c r="J469" i="5"/>
  <c r="L469" i="5" s="1"/>
  <c r="J413" i="5"/>
  <c r="L413" i="5" s="1"/>
  <c r="N413" i="5"/>
  <c r="N426" i="5"/>
  <c r="J426" i="5"/>
  <c r="L426" i="5" s="1"/>
  <c r="J398" i="5"/>
  <c r="L398" i="5" s="1"/>
  <c r="N398" i="5"/>
  <c r="J440" i="5"/>
  <c r="L440" i="5" s="1"/>
  <c r="N440" i="5"/>
  <c r="N405" i="5"/>
  <c r="J405" i="5"/>
  <c r="L405" i="5" s="1"/>
  <c r="J419" i="5"/>
  <c r="L419" i="5" s="1"/>
  <c r="N419" i="5"/>
  <c r="J461" i="5"/>
  <c r="L461" i="5" s="1"/>
  <c r="N461" i="5"/>
  <c r="N468" i="5"/>
  <c r="J468" i="5"/>
  <c r="L468" i="5" s="1"/>
  <c r="N447" i="5"/>
  <c r="J447" i="5"/>
  <c r="L447" i="5" s="1"/>
  <c r="N391" i="5"/>
  <c r="J391" i="5"/>
  <c r="L391" i="5" s="1"/>
  <c r="N412" i="5"/>
  <c r="J412" i="5"/>
  <c r="L412" i="5" s="1"/>
  <c r="N454" i="5"/>
  <c r="J454" i="5"/>
  <c r="L454" i="5" s="1"/>
  <c r="N481" i="5"/>
  <c r="J481" i="5"/>
  <c r="L481" i="5" s="1"/>
  <c r="N384" i="5"/>
  <c r="J384" i="5"/>
  <c r="L384" i="5" s="1"/>
  <c r="N433" i="5"/>
  <c r="J433" i="5"/>
  <c r="L433" i="5" s="1"/>
  <c r="N475" i="5"/>
  <c r="J475" i="5"/>
  <c r="L475" i="5" s="1"/>
  <c r="N594" i="5"/>
  <c r="J594" i="5"/>
  <c r="L594" i="5" s="1"/>
  <c r="N498" i="5"/>
  <c r="J498" i="5"/>
  <c r="L498" i="5" s="1"/>
  <c r="N548" i="5"/>
  <c r="J548" i="5"/>
  <c r="L548" i="5" s="1"/>
  <c r="N587" i="5"/>
  <c r="J587" i="5"/>
  <c r="L587" i="5" s="1"/>
  <c r="N424" i="5"/>
  <c r="J424" i="5"/>
  <c r="L424" i="5" s="1"/>
  <c r="N504" i="5"/>
  <c r="J504" i="5"/>
  <c r="L504" i="5" s="1"/>
  <c r="N529" i="5"/>
  <c r="J529" i="5"/>
  <c r="L529" i="5" s="1"/>
  <c r="N542" i="5"/>
  <c r="J542" i="5"/>
  <c r="L542" i="5" s="1"/>
  <c r="N561" i="5"/>
  <c r="J561" i="5"/>
  <c r="L561" i="5" s="1"/>
  <c r="J438" i="5"/>
  <c r="L438" i="5" s="1"/>
  <c r="N438" i="5"/>
  <c r="N466" i="5"/>
  <c r="J466" i="5"/>
  <c r="L466" i="5" s="1"/>
  <c r="N396" i="5"/>
  <c r="J396" i="5"/>
  <c r="L396" i="5" s="1"/>
  <c r="J511" i="5"/>
  <c r="L511" i="5" s="1"/>
  <c r="N511" i="5"/>
  <c r="N410" i="5"/>
  <c r="J410" i="5"/>
  <c r="L410" i="5" s="1"/>
  <c r="N431" i="5"/>
  <c r="J431" i="5"/>
  <c r="L431" i="5" s="1"/>
  <c r="J510" i="5"/>
  <c r="L510" i="5" s="1"/>
  <c r="N510" i="5"/>
  <c r="N417" i="5"/>
  <c r="J417" i="5"/>
  <c r="L417" i="5" s="1"/>
  <c r="N485" i="5"/>
  <c r="J485" i="5"/>
  <c r="L485" i="5" s="1"/>
  <c r="N517" i="5"/>
  <c r="J517" i="5"/>
  <c r="L517" i="5" s="1"/>
  <c r="N445" i="5"/>
  <c r="J445" i="5"/>
  <c r="L445" i="5" s="1"/>
  <c r="N497" i="5"/>
  <c r="J497" i="5"/>
  <c r="L497" i="5" s="1"/>
  <c r="N579" i="5"/>
  <c r="J579" i="5"/>
  <c r="L579" i="5" s="1"/>
  <c r="N389" i="5"/>
  <c r="J389" i="5"/>
  <c r="L389" i="5" s="1"/>
  <c r="N403" i="5"/>
  <c r="J403" i="5"/>
  <c r="L403" i="5" s="1"/>
  <c r="N560" i="5"/>
  <c r="J560" i="5"/>
  <c r="L560" i="5" s="1"/>
  <c r="N473" i="5"/>
  <c r="J473" i="5"/>
  <c r="L473" i="5" s="1"/>
  <c r="N535" i="5"/>
  <c r="J535" i="5"/>
  <c r="L535" i="5" s="1"/>
  <c r="N523" i="5"/>
  <c r="J523" i="5"/>
  <c r="L523" i="5" s="1"/>
  <c r="N382" i="5"/>
  <c r="J382" i="5"/>
  <c r="L382" i="5" s="1"/>
  <c r="N452" i="5"/>
  <c r="J452" i="5"/>
  <c r="L452" i="5" s="1"/>
  <c r="J541" i="5"/>
  <c r="L541" i="5" s="1"/>
  <c r="N541" i="5"/>
  <c r="J459" i="5"/>
  <c r="L459" i="5" s="1"/>
  <c r="N459" i="5"/>
  <c r="N567" i="5"/>
  <c r="J567" i="5"/>
  <c r="L567" i="5" s="1"/>
  <c r="N554" i="5"/>
  <c r="J554" i="5"/>
  <c r="L554" i="5" s="1"/>
  <c r="J573" i="5"/>
  <c r="L573" i="5" s="1"/>
  <c r="N573" i="5"/>
  <c r="N593" i="5"/>
  <c r="J593" i="5"/>
  <c r="L593" i="5" s="1"/>
  <c r="N491" i="5"/>
  <c r="J491" i="5"/>
  <c r="L491" i="5" s="1"/>
  <c r="O630" i="5"/>
  <c r="J619" i="5"/>
  <c r="L619" i="5" s="1"/>
  <c r="N619" i="5"/>
  <c r="N620" i="5"/>
  <c r="J620" i="5"/>
  <c r="L620" i="5" s="1"/>
  <c r="J607" i="5"/>
  <c r="L607" i="5" s="1"/>
  <c r="N607" i="5"/>
  <c r="N606" i="5"/>
  <c r="J606" i="5"/>
  <c r="L606" i="5" s="1"/>
  <c r="N614" i="5"/>
  <c r="J614" i="5"/>
  <c r="L614" i="5" s="1"/>
  <c r="J204" i="5"/>
  <c r="L204" i="5" s="1"/>
  <c r="N204" i="5"/>
  <c r="J172" i="5"/>
  <c r="L172" i="5" s="1"/>
  <c r="N172" i="5"/>
  <c r="J233" i="5"/>
  <c r="L233" i="5" s="1"/>
  <c r="N233" i="5"/>
  <c r="N170" i="5"/>
  <c r="J170" i="5"/>
  <c r="L170" i="5" s="1"/>
  <c r="N232" i="5"/>
  <c r="J232" i="5"/>
  <c r="L232" i="5" s="1"/>
  <c r="N243" i="5"/>
  <c r="J243" i="5"/>
  <c r="L243" i="5" s="1"/>
  <c r="N176" i="5"/>
  <c r="J176" i="5"/>
  <c r="L176" i="5" s="1"/>
  <c r="N231" i="5"/>
  <c r="J231" i="5"/>
  <c r="L231" i="5" s="1"/>
  <c r="J562" i="5"/>
  <c r="L562" i="5" s="1"/>
  <c r="O562" i="5" s="1"/>
  <c r="N171" i="5"/>
  <c r="J171" i="5"/>
  <c r="L171" i="5" s="1"/>
  <c r="N240" i="5"/>
  <c r="J240" i="5"/>
  <c r="L240" i="5" s="1"/>
  <c r="J177" i="5"/>
  <c r="L177" i="5" s="1"/>
  <c r="N177" i="5"/>
  <c r="N179" i="5"/>
  <c r="J179" i="5"/>
  <c r="L179" i="5" s="1"/>
  <c r="N234" i="5"/>
  <c r="J234" i="5"/>
  <c r="L234" i="5" s="1"/>
  <c r="N235" i="5"/>
  <c r="J235" i="5"/>
  <c r="L235" i="5" s="1"/>
  <c r="N212" i="5"/>
  <c r="J212" i="5"/>
  <c r="L212" i="5" s="1"/>
  <c r="N178" i="5"/>
  <c r="J178" i="5"/>
  <c r="L178" i="5" s="1"/>
  <c r="N210" i="5"/>
  <c r="J210" i="5"/>
  <c r="L210" i="5" s="1"/>
  <c r="N241" i="5"/>
  <c r="J241" i="5"/>
  <c r="L241" i="5" s="1"/>
  <c r="N173" i="5"/>
  <c r="J173" i="5"/>
  <c r="L173" i="5" s="1"/>
  <c r="J180" i="5"/>
  <c r="L180" i="5" s="1"/>
  <c r="N180" i="5"/>
  <c r="N213" i="5"/>
  <c r="J213" i="5"/>
  <c r="L213" i="5" s="1"/>
  <c r="N244" i="5"/>
  <c r="J244" i="5"/>
  <c r="L244" i="5" s="1"/>
  <c r="J446" i="5"/>
  <c r="L446" i="5" s="1"/>
  <c r="O446" i="5" s="1"/>
  <c r="N107" i="5"/>
  <c r="O107" i="5" s="1"/>
  <c r="N158" i="5"/>
  <c r="O158" i="5" s="1"/>
  <c r="J159" i="5"/>
  <c r="L159" i="5" s="1"/>
  <c r="O159" i="5" s="1"/>
  <c r="N157" i="5"/>
  <c r="J157" i="5"/>
  <c r="L157" i="5" s="1"/>
  <c r="O108" i="5"/>
  <c r="J127" i="5"/>
  <c r="L127" i="5" s="1"/>
  <c r="O127" i="5" s="1"/>
  <c r="N129" i="5"/>
  <c r="O129" i="5" s="1"/>
  <c r="N128" i="5"/>
  <c r="O128" i="5" s="1"/>
  <c r="N120" i="5"/>
  <c r="O120" i="5" s="1"/>
  <c r="J126" i="5"/>
  <c r="L126" i="5" s="1"/>
  <c r="O126" i="5" s="1"/>
  <c r="N121" i="5"/>
  <c r="O121" i="5" s="1"/>
  <c r="N96" i="5"/>
  <c r="O96" i="5" s="1"/>
  <c r="N110" i="5"/>
  <c r="O110" i="5" s="1"/>
  <c r="N119" i="5"/>
  <c r="O119" i="5" s="1"/>
  <c r="J118" i="5"/>
  <c r="L118" i="5" s="1"/>
  <c r="O118" i="5" s="1"/>
  <c r="N123" i="5"/>
  <c r="O123" i="5" s="1"/>
  <c r="O117" i="5"/>
  <c r="J112" i="5"/>
  <c r="L112" i="5" s="1"/>
  <c r="O112" i="5" s="1"/>
  <c r="N113" i="5"/>
  <c r="O113" i="5" s="1"/>
  <c r="N115" i="5"/>
  <c r="O115" i="5" s="1"/>
  <c r="N100" i="5"/>
  <c r="O100" i="5" s="1"/>
  <c r="J111" i="5"/>
  <c r="L111" i="5" s="1"/>
  <c r="O111" i="5" s="1"/>
  <c r="J99" i="5"/>
  <c r="L99" i="5" s="1"/>
  <c r="O99" i="5" s="1"/>
  <c r="O116" i="5"/>
  <c r="J53" i="5"/>
  <c r="L53" i="5" s="1"/>
  <c r="O53" i="5" s="1"/>
  <c r="J55" i="5"/>
  <c r="L55" i="5" s="1"/>
  <c r="O55" i="5" s="1"/>
  <c r="J62" i="5"/>
  <c r="L62" i="5" s="1"/>
  <c r="J61" i="5"/>
  <c r="L61" i="5" s="1"/>
  <c r="J66" i="5"/>
  <c r="L66" i="5" s="1"/>
  <c r="J54" i="5"/>
  <c r="L54" i="5" s="1"/>
  <c r="O54" i="5" s="1"/>
  <c r="J58" i="5"/>
  <c r="L58" i="5" s="1"/>
  <c r="O58" i="5" s="1"/>
  <c r="N62" i="5"/>
  <c r="N98" i="5"/>
  <c r="O98" i="5" s="1"/>
  <c r="N59" i="5"/>
  <c r="O59" i="5" s="1"/>
  <c r="N66" i="5"/>
  <c r="J63" i="5"/>
  <c r="L63" i="5" s="1"/>
  <c r="O63" i="5" s="1"/>
  <c r="N65" i="5"/>
  <c r="O65" i="5" s="1"/>
  <c r="N61" i="5"/>
  <c r="N57" i="5"/>
  <c r="O57" i="5" s="1"/>
  <c r="G368" i="5"/>
  <c r="G371" i="5"/>
  <c r="G370" i="5"/>
  <c r="G377" i="5"/>
  <c r="G375" i="5"/>
  <c r="G376" i="5"/>
  <c r="G379" i="5"/>
  <c r="G372" i="5"/>
  <c r="G369" i="5"/>
  <c r="O148" i="5" l="1"/>
  <c r="O151" i="5"/>
  <c r="O90" i="5"/>
  <c r="O91" i="5"/>
  <c r="O81" i="5"/>
  <c r="O80" i="5"/>
  <c r="O433" i="5"/>
  <c r="O406" i="5"/>
  <c r="O427" i="5"/>
  <c r="O378" i="5"/>
  <c r="O400" i="5"/>
  <c r="O597" i="5"/>
  <c r="O488" i="5"/>
  <c r="O407" i="5"/>
  <c r="O482" i="5"/>
  <c r="O563" i="5"/>
  <c r="O50" i="5"/>
  <c r="O49" i="5"/>
  <c r="O48" i="5"/>
  <c r="O24" i="5"/>
  <c r="O33" i="5"/>
  <c r="O32" i="5"/>
  <c r="O530" i="5"/>
  <c r="O512" i="5"/>
  <c r="O17" i="5"/>
  <c r="O23" i="5"/>
  <c r="O29" i="5"/>
  <c r="O243" i="5"/>
  <c r="O231" i="5"/>
  <c r="O176" i="5"/>
  <c r="O486" i="5"/>
  <c r="O682" i="5"/>
  <c r="O561" i="5"/>
  <c r="O424" i="5"/>
  <c r="O594" i="5"/>
  <c r="O481" i="5"/>
  <c r="O447" i="5"/>
  <c r="O405" i="5"/>
  <c r="O420" i="5"/>
  <c r="O476" i="5"/>
  <c r="O557" i="5"/>
  <c r="O570" i="5"/>
  <c r="O583" i="5"/>
  <c r="O470" i="5"/>
  <c r="O538" i="5"/>
  <c r="O582" i="5"/>
  <c r="O537" i="5"/>
  <c r="O518" i="5"/>
  <c r="O505" i="5"/>
  <c r="O524" i="5"/>
  <c r="O576" i="5"/>
  <c r="O590" i="5"/>
  <c r="O545" i="5"/>
  <c r="O428" i="5"/>
  <c r="O507" i="5"/>
  <c r="O463" i="5"/>
  <c r="O520" i="5"/>
  <c r="O581" i="5"/>
  <c r="O513" i="5"/>
  <c r="O487" i="5"/>
  <c r="O575" i="5"/>
  <c r="O604" i="5"/>
  <c r="O543" i="5"/>
  <c r="O555" i="5"/>
  <c r="O469" i="5"/>
  <c r="O399" i="5"/>
  <c r="O456" i="5"/>
  <c r="O514" i="5"/>
  <c r="O549" i="5"/>
  <c r="O499" i="5"/>
  <c r="O492" i="5"/>
  <c r="O536" i="5"/>
  <c r="O550" i="5"/>
  <c r="O414" i="5"/>
  <c r="O442" i="5"/>
  <c r="O564" i="5"/>
  <c r="O435" i="5"/>
  <c r="O494" i="5"/>
  <c r="O532" i="5"/>
  <c r="O574" i="5"/>
  <c r="O596" i="5"/>
  <c r="O556" i="5"/>
  <c r="O519" i="5"/>
  <c r="O544" i="5"/>
  <c r="O526" i="5"/>
  <c r="O525" i="5"/>
  <c r="O569" i="5"/>
  <c r="O500" i="5"/>
  <c r="O493" i="5"/>
  <c r="O531" i="5"/>
  <c r="O506" i="5"/>
  <c r="O589" i="5"/>
  <c r="O595" i="5"/>
  <c r="O501" i="5"/>
  <c r="O386" i="5"/>
  <c r="O588" i="5"/>
  <c r="O568" i="5"/>
  <c r="O551" i="5"/>
  <c r="O461" i="5"/>
  <c r="O421" i="5"/>
  <c r="O477" i="5"/>
  <c r="N372" i="5"/>
  <c r="J372" i="5"/>
  <c r="L372" i="5" s="1"/>
  <c r="N379" i="5"/>
  <c r="J379" i="5"/>
  <c r="L379" i="5" s="1"/>
  <c r="O393" i="5"/>
  <c r="O449" i="5"/>
  <c r="O554" i="5"/>
  <c r="O452" i="5"/>
  <c r="O473" i="5"/>
  <c r="O579" i="5"/>
  <c r="O485" i="5"/>
  <c r="O410" i="5"/>
  <c r="O504" i="5"/>
  <c r="O384" i="5"/>
  <c r="O391" i="5"/>
  <c r="O426" i="5"/>
  <c r="O385" i="5"/>
  <c r="O441" i="5"/>
  <c r="O462" i="5"/>
  <c r="O413" i="5"/>
  <c r="O434" i="5"/>
  <c r="J371" i="5"/>
  <c r="L371" i="5" s="1"/>
  <c r="N371" i="5"/>
  <c r="O448" i="5"/>
  <c r="O392" i="5"/>
  <c r="O455" i="5"/>
  <c r="O593" i="5"/>
  <c r="O523" i="5"/>
  <c r="O403" i="5"/>
  <c r="O445" i="5"/>
  <c r="O396" i="5"/>
  <c r="O542" i="5"/>
  <c r="O587" i="5"/>
  <c r="O475" i="5"/>
  <c r="O454" i="5"/>
  <c r="O468" i="5"/>
  <c r="O412" i="5"/>
  <c r="O398" i="5"/>
  <c r="O419" i="5"/>
  <c r="O440" i="5"/>
  <c r="N370" i="5"/>
  <c r="J370" i="5"/>
  <c r="L370" i="5" s="1"/>
  <c r="J377" i="5"/>
  <c r="L377" i="5" s="1"/>
  <c r="N377" i="5"/>
  <c r="O466" i="5"/>
  <c r="O529" i="5"/>
  <c r="O548" i="5"/>
  <c r="O498" i="5"/>
  <c r="J375" i="5"/>
  <c r="L375" i="5" s="1"/>
  <c r="N375" i="5"/>
  <c r="O438" i="5"/>
  <c r="O511" i="5"/>
  <c r="O535" i="5"/>
  <c r="O389" i="5"/>
  <c r="O517" i="5"/>
  <c r="O431" i="5"/>
  <c r="O491" i="5"/>
  <c r="O567" i="5"/>
  <c r="O382" i="5"/>
  <c r="O560" i="5"/>
  <c r="O497" i="5"/>
  <c r="O417" i="5"/>
  <c r="O459" i="5"/>
  <c r="O510" i="5"/>
  <c r="N368" i="5"/>
  <c r="J368" i="5"/>
  <c r="L368" i="5" s="1"/>
  <c r="O614" i="5"/>
  <c r="O573" i="5"/>
  <c r="O541" i="5"/>
  <c r="O620" i="5"/>
  <c r="O606" i="5"/>
  <c r="O244" i="5"/>
  <c r="O241" i="5"/>
  <c r="O235" i="5"/>
  <c r="O607" i="5"/>
  <c r="O619" i="5"/>
  <c r="O170" i="5"/>
  <c r="O177" i="5"/>
  <c r="O240" i="5"/>
  <c r="O178" i="5"/>
  <c r="O179" i="5"/>
  <c r="O204" i="5"/>
  <c r="O232" i="5"/>
  <c r="O180" i="5"/>
  <c r="O173" i="5"/>
  <c r="O212" i="5"/>
  <c r="P740" i="5"/>
  <c r="O233" i="5"/>
  <c r="O213" i="5"/>
  <c r="O210" i="5"/>
  <c r="O234" i="5"/>
  <c r="O171" i="5"/>
  <c r="O172" i="5"/>
  <c r="O157" i="5"/>
  <c r="O66" i="5"/>
  <c r="O62" i="5"/>
  <c r="O61" i="5"/>
  <c r="F250" i="5"/>
  <c r="F730" i="5"/>
  <c r="G730" i="5" s="1"/>
  <c r="F648" i="5"/>
  <c r="G648" i="5" s="1"/>
  <c r="F290" i="5"/>
  <c r="G290" i="5" s="1"/>
  <c r="F727" i="5"/>
  <c r="F617" i="5"/>
  <c r="G617" i="5" s="1"/>
  <c r="F164" i="5"/>
  <c r="F106" i="5"/>
  <c r="F163" i="5"/>
  <c r="F40" i="5"/>
  <c r="F701" i="5"/>
  <c r="G701" i="5" s="1"/>
  <c r="F263" i="5"/>
  <c r="G263" i="5" s="1"/>
  <c r="F264" i="5"/>
  <c r="G264" i="5" s="1"/>
  <c r="F265" i="5"/>
  <c r="G265" i="5" s="1"/>
  <c r="F266" i="5"/>
  <c r="G266" i="5" s="1"/>
  <c r="F269" i="5"/>
  <c r="G269" i="5" s="1"/>
  <c r="F294" i="5"/>
  <c r="G294" i="5" s="1"/>
  <c r="F293" i="5"/>
  <c r="G293" i="5" s="1"/>
  <c r="F289" i="5"/>
  <c r="G289" i="5" s="1"/>
  <c r="F281" i="5"/>
  <c r="G281" i="5" s="1"/>
  <c r="F262" i="5"/>
  <c r="G262" i="5" s="1"/>
  <c r="F216" i="5"/>
  <c r="F242" i="5"/>
  <c r="F247" i="5"/>
  <c r="F257" i="5"/>
  <c r="G257" i="5" s="1"/>
  <c r="F651" i="5"/>
  <c r="G651" i="5" s="1"/>
  <c r="F690" i="5"/>
  <c r="G690" i="5" s="1"/>
  <c r="F691" i="5"/>
  <c r="G691" i="5" s="1"/>
  <c r="F692" i="5"/>
  <c r="G692" i="5" s="1"/>
  <c r="F693" i="5"/>
  <c r="G693" i="5" s="1"/>
  <c r="F694" i="5"/>
  <c r="G694" i="5" s="1"/>
  <c r="F695" i="5"/>
  <c r="G695" i="5" s="1"/>
  <c r="F696" i="5"/>
  <c r="G696" i="5" s="1"/>
  <c r="F697" i="5"/>
  <c r="G697" i="5" s="1"/>
  <c r="F710" i="5"/>
  <c r="G710" i="5" s="1"/>
  <c r="F711" i="5"/>
  <c r="G711" i="5" s="1"/>
  <c r="F661" i="5"/>
  <c r="G661" i="5" s="1"/>
  <c r="F662" i="5"/>
  <c r="G662" i="5" s="1"/>
  <c r="F675" i="5"/>
  <c r="G675" i="5" s="1"/>
  <c r="F670" i="5"/>
  <c r="G670" i="5" s="1"/>
  <c r="F671" i="5"/>
  <c r="G671" i="5" s="1"/>
  <c r="F672" i="5"/>
  <c r="G672" i="5" s="1"/>
  <c r="F673" i="5"/>
  <c r="G673" i="5" s="1"/>
  <c r="F708" i="5"/>
  <c r="G708" i="5" s="1"/>
  <c r="F709" i="5"/>
  <c r="G709" i="5" s="1"/>
  <c r="F712" i="5"/>
  <c r="G712" i="5" s="1"/>
  <c r="F689" i="5"/>
  <c r="G689" i="5" s="1"/>
  <c r="F707" i="5"/>
  <c r="G707" i="5" s="1"/>
  <c r="F737" i="5"/>
  <c r="G737" i="5" s="1"/>
  <c r="F738" i="5"/>
  <c r="G738" i="5" s="1"/>
  <c r="F736" i="5"/>
  <c r="G736" i="5" s="1"/>
  <c r="F733" i="5"/>
  <c r="G733" i="5" s="1"/>
  <c r="F724" i="5"/>
  <c r="F335" i="5"/>
  <c r="G335" i="5" s="1"/>
  <c r="F336" i="5"/>
  <c r="G336" i="5" s="1"/>
  <c r="F337" i="5"/>
  <c r="G337" i="5" s="1"/>
  <c r="F357" i="5"/>
  <c r="G357" i="5" s="1"/>
  <c r="F358" i="5"/>
  <c r="G358" i="5" s="1"/>
  <c r="F359" i="5"/>
  <c r="G359" i="5" s="1"/>
  <c r="F360" i="5"/>
  <c r="G360" i="5" s="1"/>
  <c r="F361" i="5"/>
  <c r="G361" i="5" s="1"/>
  <c r="F629" i="5"/>
  <c r="G629" i="5" s="1"/>
  <c r="F39" i="5"/>
  <c r="F94" i="5"/>
  <c r="F95" i="5"/>
  <c r="F103" i="5"/>
  <c r="F104" i="5"/>
  <c r="F105" i="5"/>
  <c r="F156" i="5"/>
  <c r="G156" i="5" s="1"/>
  <c r="J670" i="5" l="1"/>
  <c r="L670" i="5" s="1"/>
  <c r="N670" i="5"/>
  <c r="J689" i="5"/>
  <c r="L689" i="5" s="1"/>
  <c r="N689" i="5"/>
  <c r="N662" i="5"/>
  <c r="J662" i="5"/>
  <c r="L662" i="5" s="1"/>
  <c r="J693" i="5"/>
  <c r="L693" i="5" s="1"/>
  <c r="N693" i="5"/>
  <c r="J707" i="5"/>
  <c r="L707" i="5" s="1"/>
  <c r="N707" i="5"/>
  <c r="N694" i="5"/>
  <c r="J694" i="5"/>
  <c r="L694" i="5" s="1"/>
  <c r="J661" i="5"/>
  <c r="L661" i="5" s="1"/>
  <c r="N661" i="5"/>
  <c r="J733" i="5"/>
  <c r="L733" i="5" s="1"/>
  <c r="N733" i="5"/>
  <c r="J711" i="5"/>
  <c r="L711" i="5" s="1"/>
  <c r="N711" i="5"/>
  <c r="N691" i="5"/>
  <c r="J691" i="5"/>
  <c r="L691" i="5" s="1"/>
  <c r="N695" i="5"/>
  <c r="J695" i="5"/>
  <c r="L695" i="5" s="1"/>
  <c r="J675" i="5"/>
  <c r="L675" i="5" s="1"/>
  <c r="N675" i="5"/>
  <c r="N709" i="5"/>
  <c r="J709" i="5"/>
  <c r="L709" i="5" s="1"/>
  <c r="J708" i="5"/>
  <c r="L708" i="5" s="1"/>
  <c r="N708" i="5"/>
  <c r="N736" i="5"/>
  <c r="J736" i="5"/>
  <c r="L736" i="5" s="1"/>
  <c r="N673" i="5"/>
  <c r="J673" i="5"/>
  <c r="L673" i="5" s="1"/>
  <c r="N710" i="5"/>
  <c r="J710" i="5"/>
  <c r="L710" i="5" s="1"/>
  <c r="N690" i="5"/>
  <c r="J690" i="5"/>
  <c r="L690" i="5" s="1"/>
  <c r="N701" i="5"/>
  <c r="J701" i="5"/>
  <c r="L701" i="5" s="1"/>
  <c r="N648" i="5"/>
  <c r="J648" i="5"/>
  <c r="L648" i="5" s="1"/>
  <c r="J738" i="5"/>
  <c r="L738" i="5" s="1"/>
  <c r="N738" i="5"/>
  <c r="N672" i="5"/>
  <c r="J672" i="5"/>
  <c r="L672" i="5" s="1"/>
  <c r="J697" i="5"/>
  <c r="L697" i="5" s="1"/>
  <c r="N697" i="5"/>
  <c r="J651" i="5"/>
  <c r="L651" i="5" s="1"/>
  <c r="N651" i="5"/>
  <c r="N730" i="5"/>
  <c r="J730" i="5"/>
  <c r="L730" i="5" s="1"/>
  <c r="J712" i="5"/>
  <c r="L712" i="5" s="1"/>
  <c r="N712" i="5"/>
  <c r="J692" i="5"/>
  <c r="L692" i="5" s="1"/>
  <c r="N692" i="5"/>
  <c r="N737" i="5"/>
  <c r="J737" i="5"/>
  <c r="L737" i="5" s="1"/>
  <c r="J671" i="5"/>
  <c r="L671" i="5" s="1"/>
  <c r="N671" i="5"/>
  <c r="N696" i="5"/>
  <c r="J696" i="5"/>
  <c r="L696" i="5" s="1"/>
  <c r="O379" i="5"/>
  <c r="O370" i="5"/>
  <c r="O372" i="5"/>
  <c r="O371" i="5"/>
  <c r="O377" i="5"/>
  <c r="O375" i="5"/>
  <c r="O368" i="5"/>
  <c r="N358" i="5"/>
  <c r="J358" i="5"/>
  <c r="L358" i="5" s="1"/>
  <c r="N337" i="5"/>
  <c r="J337" i="5"/>
  <c r="L337" i="5" s="1"/>
  <c r="N617" i="5"/>
  <c r="J617" i="5"/>
  <c r="L617" i="5" s="1"/>
  <c r="N629" i="5"/>
  <c r="J629" i="5"/>
  <c r="L629" i="5" s="1"/>
  <c r="N361" i="5"/>
  <c r="J361" i="5"/>
  <c r="L361" i="5" s="1"/>
  <c r="N360" i="5"/>
  <c r="J360" i="5"/>
  <c r="L360" i="5" s="1"/>
  <c r="J335" i="5"/>
  <c r="L335" i="5" s="1"/>
  <c r="N335" i="5"/>
  <c r="J359" i="5"/>
  <c r="L359" i="5" s="1"/>
  <c r="N359" i="5"/>
  <c r="N336" i="5"/>
  <c r="J336" i="5"/>
  <c r="L336" i="5" s="1"/>
  <c r="N357" i="5"/>
  <c r="J357" i="5"/>
  <c r="L357" i="5" s="1"/>
  <c r="J262" i="5"/>
  <c r="L262" i="5" s="1"/>
  <c r="N262" i="5"/>
  <c r="N264" i="5"/>
  <c r="J264" i="5"/>
  <c r="L264" i="5" s="1"/>
  <c r="J281" i="5"/>
  <c r="L281" i="5" s="1"/>
  <c r="N281" i="5"/>
  <c r="N263" i="5"/>
  <c r="J263" i="5"/>
  <c r="L263" i="5" s="1"/>
  <c r="N290" i="5"/>
  <c r="J290" i="5"/>
  <c r="L290" i="5" s="1"/>
  <c r="J289" i="5"/>
  <c r="L289" i="5" s="1"/>
  <c r="N289" i="5"/>
  <c r="N293" i="5"/>
  <c r="J293" i="5"/>
  <c r="L293" i="5" s="1"/>
  <c r="N294" i="5"/>
  <c r="J294" i="5"/>
  <c r="L294" i="5" s="1"/>
  <c r="N269" i="5"/>
  <c r="J269" i="5"/>
  <c r="L269" i="5" s="1"/>
  <c r="J266" i="5"/>
  <c r="L266" i="5" s="1"/>
  <c r="N266" i="5"/>
  <c r="N265" i="5"/>
  <c r="J265" i="5"/>
  <c r="L265" i="5" s="1"/>
  <c r="N257" i="5"/>
  <c r="J257" i="5"/>
  <c r="L257" i="5" s="1"/>
  <c r="J156" i="5"/>
  <c r="L156" i="5" s="1"/>
  <c r="N156" i="5"/>
  <c r="G250" i="5"/>
  <c r="G242" i="5"/>
  <c r="G724" i="5"/>
  <c r="G106" i="5"/>
  <c r="G727" i="5"/>
  <c r="G247" i="5"/>
  <c r="G105" i="5"/>
  <c r="G95" i="5"/>
  <c r="G39" i="5"/>
  <c r="G164" i="5"/>
  <c r="G163" i="5"/>
  <c r="G104" i="5"/>
  <c r="G94" i="5"/>
  <c r="G40" i="5"/>
  <c r="G103" i="5"/>
  <c r="G216" i="5"/>
  <c r="A14" i="5"/>
  <c r="A15" i="5"/>
  <c r="A16" i="5"/>
  <c r="O265" i="5" l="1"/>
  <c r="O293" i="5"/>
  <c r="O336" i="5"/>
  <c r="O361" i="5"/>
  <c r="O358" i="5"/>
  <c r="O737" i="5"/>
  <c r="O648" i="5"/>
  <c r="O673" i="5"/>
  <c r="O701" i="5"/>
  <c r="P699" i="5" s="1"/>
  <c r="O736" i="5"/>
  <c r="O662" i="5"/>
  <c r="A17" i="5"/>
  <c r="O708" i="5"/>
  <c r="O689" i="5"/>
  <c r="O357" i="5"/>
  <c r="O360" i="5"/>
  <c r="O337" i="5"/>
  <c r="O692" i="5"/>
  <c r="O661" i="5"/>
  <c r="O712" i="5"/>
  <c r="O671" i="5"/>
  <c r="O738" i="5"/>
  <c r="O711" i="5"/>
  <c r="O707" i="5"/>
  <c r="O670" i="5"/>
  <c r="O651" i="5"/>
  <c r="O675" i="5"/>
  <c r="O733" i="5"/>
  <c r="O693" i="5"/>
  <c r="N727" i="5"/>
  <c r="J727" i="5"/>
  <c r="L727" i="5" s="1"/>
  <c r="O695" i="5"/>
  <c r="O697" i="5"/>
  <c r="N724" i="5"/>
  <c r="J724" i="5"/>
  <c r="L724" i="5" s="1"/>
  <c r="O696" i="5"/>
  <c r="O672" i="5"/>
  <c r="O690" i="5"/>
  <c r="O691" i="5"/>
  <c r="O694" i="5"/>
  <c r="O730" i="5"/>
  <c r="O710" i="5"/>
  <c r="O709" i="5"/>
  <c r="O269" i="5"/>
  <c r="O617" i="5"/>
  <c r="O629" i="5"/>
  <c r="O359" i="5"/>
  <c r="O335" i="5"/>
  <c r="O266" i="5"/>
  <c r="O289" i="5"/>
  <c r="O257" i="5"/>
  <c r="O294" i="5"/>
  <c r="O263" i="5"/>
  <c r="O281" i="5"/>
  <c r="O264" i="5"/>
  <c r="O290" i="5"/>
  <c r="O262" i="5"/>
  <c r="N242" i="5"/>
  <c r="J242" i="5"/>
  <c r="L242" i="5" s="1"/>
  <c r="N216" i="5"/>
  <c r="J216" i="5"/>
  <c r="L216" i="5" s="1"/>
  <c r="N250" i="5"/>
  <c r="J250" i="5"/>
  <c r="L250" i="5" s="1"/>
  <c r="N247" i="5"/>
  <c r="J247" i="5"/>
  <c r="L247" i="5" s="1"/>
  <c r="O156" i="5"/>
  <c r="N95" i="5"/>
  <c r="J95" i="5"/>
  <c r="L95" i="5" s="1"/>
  <c r="N94" i="5"/>
  <c r="J94" i="5"/>
  <c r="L94" i="5" s="1"/>
  <c r="J104" i="5"/>
  <c r="L104" i="5" s="1"/>
  <c r="N104" i="5"/>
  <c r="J39" i="5"/>
  <c r="L39" i="5" s="1"/>
  <c r="N39" i="5"/>
  <c r="N163" i="5"/>
  <c r="J163" i="5"/>
  <c r="L163" i="5" s="1"/>
  <c r="N164" i="5"/>
  <c r="J164" i="5"/>
  <c r="L164" i="5" s="1"/>
  <c r="N106" i="5"/>
  <c r="J106" i="5"/>
  <c r="L106" i="5" s="1"/>
  <c r="N105" i="5"/>
  <c r="J105" i="5"/>
  <c r="L105" i="5" s="1"/>
  <c r="J103" i="5"/>
  <c r="L103" i="5" s="1"/>
  <c r="N103" i="5"/>
  <c r="N40" i="5"/>
  <c r="J40" i="5"/>
  <c r="L40" i="5" s="1"/>
  <c r="O216" i="5" l="1"/>
  <c r="O724" i="5"/>
  <c r="A18" i="5"/>
  <c r="O727" i="5"/>
  <c r="O250" i="5"/>
  <c r="O242" i="5"/>
  <c r="O247" i="5"/>
  <c r="O163" i="5"/>
  <c r="O40" i="5"/>
  <c r="O104" i="5"/>
  <c r="O103" i="5"/>
  <c r="O39" i="5"/>
  <c r="O105" i="5"/>
  <c r="O106" i="5"/>
  <c r="P259" i="5"/>
  <c r="O94" i="5"/>
  <c r="O95" i="5"/>
  <c r="O164" i="5"/>
  <c r="A20" i="5" l="1"/>
  <c r="P721" i="5"/>
  <c r="F706" i="5"/>
  <c r="G706" i="5" s="1"/>
  <c r="A21" i="5" l="1"/>
  <c r="N706" i="5"/>
  <c r="J706" i="5"/>
  <c r="L706" i="5" s="1"/>
  <c r="F674" i="5"/>
  <c r="G674" i="5" s="1"/>
  <c r="A23" i="5" l="1"/>
  <c r="A24" i="5" s="1"/>
  <c r="J674" i="5"/>
  <c r="L674" i="5" s="1"/>
  <c r="N674" i="5"/>
  <c r="O706" i="5"/>
  <c r="P703" i="5" s="1"/>
  <c r="B9" i="5"/>
  <c r="B8" i="5"/>
  <c r="B7" i="5"/>
  <c r="A8" i="5"/>
  <c r="A7" i="5"/>
  <c r="A26" i="5" l="1"/>
  <c r="A27" i="5"/>
  <c r="A29" i="5" s="1"/>
  <c r="O674" i="5"/>
  <c r="P667" i="5" s="1"/>
  <c r="A30" i="5" l="1"/>
  <c r="A32" i="5"/>
  <c r="A33" i="5"/>
  <c r="F334" i="5"/>
  <c r="G334" i="5" s="1"/>
  <c r="F719" i="5"/>
  <c r="G719" i="5" s="1"/>
  <c r="F718" i="5"/>
  <c r="G718" i="5" s="1"/>
  <c r="A35" i="5" l="1"/>
  <c r="J718" i="5"/>
  <c r="L718" i="5" s="1"/>
  <c r="N718" i="5"/>
  <c r="J719" i="5"/>
  <c r="L719" i="5" s="1"/>
  <c r="N719" i="5"/>
  <c r="N334" i="5"/>
  <c r="J334" i="5"/>
  <c r="L334" i="5" s="1"/>
  <c r="A36" i="5" l="1"/>
  <c r="A39" i="5" s="1"/>
  <c r="A40" i="5" s="1"/>
  <c r="A42" i="5" s="1"/>
  <c r="A43" i="5" s="1"/>
  <c r="A45" i="5" s="1"/>
  <c r="A46" i="5" s="1"/>
  <c r="A48" i="5" s="1"/>
  <c r="A49" i="5" s="1"/>
  <c r="A50" i="5" s="1"/>
  <c r="A53" i="5" s="1"/>
  <c r="A54" i="5" s="1"/>
  <c r="A55" i="5" s="1"/>
  <c r="A57" i="5" s="1"/>
  <c r="A58" i="5" s="1"/>
  <c r="A59" i="5" s="1"/>
  <c r="A61" i="5" s="1"/>
  <c r="A62" i="5" s="1"/>
  <c r="A63" i="5" s="1"/>
  <c r="A65" i="5" s="1"/>
  <c r="A66" i="5" s="1"/>
  <c r="A68" i="5" s="1"/>
  <c r="A69" i="5" s="1"/>
  <c r="A70" i="5" s="1"/>
  <c r="A72" i="5" s="1"/>
  <c r="A73" i="5" s="1"/>
  <c r="A74" i="5" s="1"/>
  <c r="A76" i="5" s="1"/>
  <c r="A77" i="5" s="1"/>
  <c r="A78" i="5" s="1"/>
  <c r="A80" i="5" s="1"/>
  <c r="A81" i="5" s="1"/>
  <c r="A83" i="5" s="1"/>
  <c r="A84" i="5" s="1"/>
  <c r="A85" i="5" s="1"/>
  <c r="A87" i="5" s="1"/>
  <c r="A88" i="5" s="1"/>
  <c r="A90" i="5" s="1"/>
  <c r="A91" i="5" s="1"/>
  <c r="A94" i="5" s="1"/>
  <c r="A95" i="5" s="1"/>
  <c r="A96" i="5" s="1"/>
  <c r="A98" i="5" s="1"/>
  <c r="A99" i="5" s="1"/>
  <c r="A100" i="5" s="1"/>
  <c r="A103" i="5" s="1"/>
  <c r="A104" i="5" s="1"/>
  <c r="A105" i="5" s="1"/>
  <c r="A106" i="5" s="1"/>
  <c r="A107" i="5" s="1"/>
  <c r="A108" i="5" s="1"/>
  <c r="A110" i="5" s="1"/>
  <c r="A111" i="5" s="1"/>
  <c r="A112" i="5" s="1"/>
  <c r="A113" i="5" s="1"/>
  <c r="A115" i="5" s="1"/>
  <c r="A116" i="5" s="1"/>
  <c r="A117" i="5" s="1"/>
  <c r="A118" i="5" s="1"/>
  <c r="A119" i="5" s="1"/>
  <c r="A120" i="5" s="1"/>
  <c r="A121" i="5" s="1"/>
  <c r="A123" i="5" s="1"/>
  <c r="A126" i="5" s="1"/>
  <c r="A127" i="5" s="1"/>
  <c r="A128" i="5" s="1"/>
  <c r="A129" i="5" s="1"/>
  <c r="A131" i="5" s="1"/>
  <c r="A132" i="5" s="1"/>
  <c r="A134" i="5" s="1"/>
  <c r="A135" i="5" s="1"/>
  <c r="A136" i="5" s="1"/>
  <c r="A137" i="5" s="1"/>
  <c r="A139" i="5" s="1"/>
  <c r="A140" i="5" s="1"/>
  <c r="A141" i="5" s="1"/>
  <c r="A142" i="5" s="1"/>
  <c r="A144" i="5" s="1"/>
  <c r="A145" i="5" s="1"/>
  <c r="A146" i="5" s="1"/>
  <c r="A148" i="5" s="1"/>
  <c r="A149" i="5" s="1"/>
  <c r="A151" i="5" s="1"/>
  <c r="A152" i="5" s="1"/>
  <c r="A153" i="5" s="1"/>
  <c r="A156" i="5" s="1"/>
  <c r="A157" i="5" s="1"/>
  <c r="A158" i="5" s="1"/>
  <c r="A159" i="5" s="1"/>
  <c r="A162" i="5" s="1"/>
  <c r="A163" i="5" s="1"/>
  <c r="A164" i="5" s="1"/>
  <c r="A169" i="5" s="1"/>
  <c r="A170" i="5" s="1"/>
  <c r="A171" i="5" s="1"/>
  <c r="A172" i="5" s="1"/>
  <c r="A173" i="5" s="1"/>
  <c r="A176" i="5" s="1"/>
  <c r="A177" i="5" s="1"/>
  <c r="A178" i="5" s="1"/>
  <c r="A179" i="5" s="1"/>
  <c r="A180" i="5" s="1"/>
  <c r="A183" i="5" s="1"/>
  <c r="A184" i="5" s="1"/>
  <c r="A185" i="5" s="1"/>
  <c r="A186" i="5" s="1"/>
  <c r="A187" i="5" s="1"/>
  <c r="A188" i="5" s="1"/>
  <c r="A191" i="5" s="1"/>
  <c r="A192" i="5" s="1"/>
  <c r="A193" i="5" s="1"/>
  <c r="A194" i="5" s="1"/>
  <c r="A197" i="5" s="1"/>
  <c r="A198" i="5" s="1"/>
  <c r="A201" i="5" s="1"/>
  <c r="A204" i="5" s="1"/>
  <c r="A209" i="5" s="1"/>
  <c r="A210" i="5" s="1"/>
  <c r="A212" i="5" s="1"/>
  <c r="A213" i="5" s="1"/>
  <c r="A216" i="5" s="1"/>
  <c r="A218" i="5" s="1"/>
  <c r="A219" i="5" s="1"/>
  <c r="A220" i="5" s="1"/>
  <c r="A221" i="5" s="1"/>
  <c r="A222" i="5" s="1"/>
  <c r="A223" i="5" s="1"/>
  <c r="A224" i="5" s="1"/>
  <c r="A226" i="5" s="1"/>
  <c r="A227" i="5" s="1"/>
  <c r="A228" i="5" s="1"/>
  <c r="A229" i="5" s="1"/>
  <c r="A231" i="5" s="1"/>
  <c r="A232" i="5" s="1"/>
  <c r="A233" i="5" s="1"/>
  <c r="A234" i="5" s="1"/>
  <c r="A235" i="5" s="1"/>
  <c r="A237" i="5" s="1"/>
  <c r="A240" i="5" s="1"/>
  <c r="A241" i="5" s="1"/>
  <c r="A242" i="5" s="1"/>
  <c r="A243" i="5" s="1"/>
  <c r="A244" i="5" s="1"/>
  <c r="A247" i="5" s="1"/>
  <c r="A248" i="5" s="1"/>
  <c r="A249" i="5" s="1"/>
  <c r="A250" i="5" s="1"/>
  <c r="A253" i="5" s="1"/>
  <c r="A254" i="5" s="1"/>
  <c r="A257" i="5" s="1"/>
  <c r="A262" i="5" s="1"/>
  <c r="A263" i="5" s="1"/>
  <c r="A264" i="5" s="1"/>
  <c r="A265" i="5" s="1"/>
  <c r="A266" i="5" s="1"/>
  <c r="A267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81" i="5" s="1"/>
  <c r="A282" i="5" s="1"/>
  <c r="A283" i="5" s="1"/>
  <c r="A284" i="5" s="1"/>
  <c r="A286" i="5" s="1"/>
  <c r="A289" i="5" s="1"/>
  <c r="A290" i="5" s="1"/>
  <c r="A293" i="5" s="1"/>
  <c r="A294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8" i="5" s="1"/>
  <c r="A331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8" i="5" s="1"/>
  <c r="A369" i="5" s="1"/>
  <c r="A370" i="5" s="1"/>
  <c r="A371" i="5" s="1"/>
  <c r="A372" i="5" s="1"/>
  <c r="A375" i="5" s="1"/>
  <c r="A376" i="5" s="1"/>
  <c r="A377" i="5" s="1"/>
  <c r="A378" i="5" s="1"/>
  <c r="A379" i="5" s="1"/>
  <c r="A382" i="5" s="1"/>
  <c r="A383" i="5" s="1"/>
  <c r="A384" i="5" s="1"/>
  <c r="A385" i="5" s="1"/>
  <c r="A386" i="5" s="1"/>
  <c r="A389" i="5" s="1"/>
  <c r="A390" i="5" s="1"/>
  <c r="A391" i="5" s="1"/>
  <c r="A392" i="5" s="1"/>
  <c r="A393" i="5" s="1"/>
  <c r="A396" i="5" s="1"/>
  <c r="A397" i="5" s="1"/>
  <c r="A398" i="5" s="1"/>
  <c r="A399" i="5" s="1"/>
  <c r="A400" i="5" s="1"/>
  <c r="A403" i="5" s="1"/>
  <c r="A404" i="5" s="1"/>
  <c r="A405" i="5" s="1"/>
  <c r="A406" i="5" s="1"/>
  <c r="A407" i="5" s="1"/>
  <c r="A410" i="5" s="1"/>
  <c r="A411" i="5" s="1"/>
  <c r="A412" i="5" s="1"/>
  <c r="A413" i="5" s="1"/>
  <c r="A414" i="5" s="1"/>
  <c r="A417" i="5" s="1"/>
  <c r="A418" i="5" s="1"/>
  <c r="A419" i="5" s="1"/>
  <c r="A420" i="5" s="1"/>
  <c r="A421" i="5" s="1"/>
  <c r="A424" i="5" s="1"/>
  <c r="A425" i="5" s="1"/>
  <c r="A426" i="5" s="1"/>
  <c r="A427" i="5" s="1"/>
  <c r="A428" i="5" s="1"/>
  <c r="A431" i="5" s="1"/>
  <c r="A432" i="5" s="1"/>
  <c r="A433" i="5" s="1"/>
  <c r="A434" i="5" s="1"/>
  <c r="A435" i="5" s="1"/>
  <c r="A438" i="5" s="1"/>
  <c r="A439" i="5" s="1"/>
  <c r="A440" i="5" s="1"/>
  <c r="A441" i="5" s="1"/>
  <c r="A442" i="5" s="1"/>
  <c r="A445" i="5" s="1"/>
  <c r="A446" i="5" s="1"/>
  <c r="A447" i="5" s="1"/>
  <c r="A448" i="5" s="1"/>
  <c r="A449" i="5" s="1"/>
  <c r="A452" i="5" s="1"/>
  <c r="A453" i="5" s="1"/>
  <c r="A454" i="5" s="1"/>
  <c r="A455" i="5" s="1"/>
  <c r="A456" i="5" s="1"/>
  <c r="A459" i="5" s="1"/>
  <c r="A460" i="5" s="1"/>
  <c r="A461" i="5" s="1"/>
  <c r="A462" i="5" s="1"/>
  <c r="A463" i="5" s="1"/>
  <c r="A466" i="5" s="1"/>
  <c r="A467" i="5" s="1"/>
  <c r="A468" i="5" s="1"/>
  <c r="A469" i="5" s="1"/>
  <c r="A470" i="5" s="1"/>
  <c r="A473" i="5" s="1"/>
  <c r="A474" i="5" s="1"/>
  <c r="A475" i="5" s="1"/>
  <c r="A476" i="5" s="1"/>
  <c r="A477" i="5" s="1"/>
  <c r="A480" i="5" s="1"/>
  <c r="A481" i="5" s="1"/>
  <c r="A482" i="5" s="1"/>
  <c r="A485" i="5" s="1"/>
  <c r="A486" i="5" s="1"/>
  <c r="A487" i="5" s="1"/>
  <c r="A488" i="5" s="1"/>
  <c r="A491" i="5" s="1"/>
  <c r="A492" i="5" s="1"/>
  <c r="A493" i="5" s="1"/>
  <c r="A494" i="5" s="1"/>
  <c r="A497" i="5" s="1"/>
  <c r="A498" i="5" s="1"/>
  <c r="A499" i="5" s="1"/>
  <c r="A500" i="5" s="1"/>
  <c r="A501" i="5" s="1"/>
  <c r="A504" i="5" s="1"/>
  <c r="A505" i="5" s="1"/>
  <c r="A506" i="5" s="1"/>
  <c r="A507" i="5" s="1"/>
  <c r="A510" i="5" s="1"/>
  <c r="A511" i="5" s="1"/>
  <c r="A512" i="5" s="1"/>
  <c r="A513" i="5" s="1"/>
  <c r="A514" i="5" s="1"/>
  <c r="A517" i="5" s="1"/>
  <c r="A518" i="5" s="1"/>
  <c r="A519" i="5" s="1"/>
  <c r="A520" i="5" s="1"/>
  <c r="A523" i="5" s="1"/>
  <c r="A524" i="5" s="1"/>
  <c r="A525" i="5" s="1"/>
  <c r="A526" i="5" s="1"/>
  <c r="A529" i="5" s="1"/>
  <c r="A530" i="5" s="1"/>
  <c r="A531" i="5" s="1"/>
  <c r="A532" i="5" s="1"/>
  <c r="A535" i="5" s="1"/>
  <c r="A536" i="5" s="1"/>
  <c r="A537" i="5" s="1"/>
  <c r="A538" i="5" s="1"/>
  <c r="A541" i="5" s="1"/>
  <c r="A542" i="5" s="1"/>
  <c r="A543" i="5" s="1"/>
  <c r="A544" i="5" s="1"/>
  <c r="A545" i="5" s="1"/>
  <c r="A548" i="5" s="1"/>
  <c r="A549" i="5" s="1"/>
  <c r="A550" i="5" s="1"/>
  <c r="A551" i="5" s="1"/>
  <c r="A554" i="5" s="1"/>
  <c r="A555" i="5" s="1"/>
  <c r="A556" i="5" s="1"/>
  <c r="A557" i="5" s="1"/>
  <c r="A560" i="5" s="1"/>
  <c r="A561" i="5" s="1"/>
  <c r="A562" i="5" s="1"/>
  <c r="A563" i="5" s="1"/>
  <c r="A564" i="5" s="1"/>
  <c r="A567" i="5" s="1"/>
  <c r="A568" i="5" s="1"/>
  <c r="A569" i="5" s="1"/>
  <c r="A570" i="5" s="1"/>
  <c r="A573" i="5" s="1"/>
  <c r="A574" i="5" s="1"/>
  <c r="A575" i="5" s="1"/>
  <c r="A576" i="5" s="1"/>
  <c r="A579" i="5" s="1"/>
  <c r="A580" i="5" s="1"/>
  <c r="A581" i="5" s="1"/>
  <c r="A582" i="5" s="1"/>
  <c r="A583" i="5" s="1"/>
  <c r="A586" i="5" s="1"/>
  <c r="A587" i="5" s="1"/>
  <c r="A588" i="5" s="1"/>
  <c r="A589" i="5" s="1"/>
  <c r="A590" i="5" s="1"/>
  <c r="A593" i="5" s="1"/>
  <c r="A594" i="5" s="1"/>
  <c r="A595" i="5" s="1"/>
  <c r="A596" i="5" s="1"/>
  <c r="A597" i="5" s="1"/>
  <c r="A600" i="5" s="1"/>
  <c r="A601" i="5" s="1"/>
  <c r="A604" i="5" s="1"/>
  <c r="A606" i="5" s="1"/>
  <c r="A607" i="5" s="1"/>
  <c r="A608" i="5" s="1"/>
  <c r="A611" i="5" s="1"/>
  <c r="A614" i="5" s="1"/>
  <c r="A615" i="5" s="1"/>
  <c r="A617" i="5" s="1"/>
  <c r="A619" i="5" s="1"/>
  <c r="A620" i="5" s="1"/>
  <c r="A623" i="5" s="1"/>
  <c r="A624" i="5" s="1"/>
  <c r="A625" i="5" s="1"/>
  <c r="A628" i="5" s="1"/>
  <c r="A629" i="5" s="1"/>
  <c r="A630" i="5" s="1"/>
  <c r="A633" i="5" s="1"/>
  <c r="A636" i="5" s="1"/>
  <c r="A641" i="5" s="1"/>
  <c r="A644" i="5" s="1"/>
  <c r="A645" i="5" s="1"/>
  <c r="A648" i="5" s="1"/>
  <c r="A651" i="5" s="1"/>
  <c r="A654" i="5" s="1"/>
  <c r="A659" i="5" s="1"/>
  <c r="A660" i="5" s="1"/>
  <c r="A661" i="5" s="1"/>
  <c r="A662" i="5" s="1"/>
  <c r="A665" i="5" s="1"/>
  <c r="A670" i="5" s="1"/>
  <c r="A671" i="5" s="1"/>
  <c r="A672" i="5" s="1"/>
  <c r="A673" i="5" s="1"/>
  <c r="A674" i="5" s="1"/>
  <c r="A675" i="5" s="1"/>
  <c r="A680" i="5" s="1"/>
  <c r="A681" i="5" s="1"/>
  <c r="A682" i="5" s="1"/>
  <c r="A684" i="5" s="1"/>
  <c r="A685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701" i="5" s="1"/>
  <c r="A706" i="5" s="1"/>
  <c r="A707" i="5" s="1"/>
  <c r="A708" i="5" s="1"/>
  <c r="A709" i="5" s="1"/>
  <c r="A710" i="5" s="1"/>
  <c r="A711" i="5" s="1"/>
  <c r="A712" i="5" s="1"/>
  <c r="A713" i="5" s="1"/>
  <c r="A717" i="5" s="1"/>
  <c r="A718" i="5" s="1"/>
  <c r="A719" i="5" s="1"/>
  <c r="A724" i="5" s="1"/>
  <c r="A727" i="5" s="1"/>
  <c r="A730" i="5" s="1"/>
  <c r="A733" i="5" s="1"/>
  <c r="A736" i="5" s="1"/>
  <c r="A737" i="5" s="1"/>
  <c r="A738" i="5" s="1"/>
  <c r="A742" i="5" s="1"/>
  <c r="A743" i="5" s="1"/>
  <c r="A744" i="5" s="1"/>
  <c r="O718" i="5"/>
  <c r="O719" i="5"/>
  <c r="O334" i="5"/>
  <c r="F687" i="5" l="1"/>
  <c r="F681" i="5"/>
  <c r="G681" i="5" s="1"/>
  <c r="F660" i="5"/>
  <c r="G660" i="5" s="1"/>
  <c r="F665" i="5"/>
  <c r="G665" i="5" s="1"/>
  <c r="N665" i="5" l="1"/>
  <c r="J665" i="5"/>
  <c r="L665" i="5" s="1"/>
  <c r="J660" i="5"/>
  <c r="L660" i="5" s="1"/>
  <c r="N660" i="5"/>
  <c r="N681" i="5"/>
  <c r="J681" i="5"/>
  <c r="L681" i="5" s="1"/>
  <c r="O681" i="5" s="1"/>
  <c r="G687" i="5"/>
  <c r="O665" i="5" l="1"/>
  <c r="N687" i="5"/>
  <c r="J687" i="5"/>
  <c r="L687" i="5" s="1"/>
  <c r="O660" i="5"/>
  <c r="F717" i="5"/>
  <c r="G717" i="5" s="1"/>
  <c r="F680" i="5"/>
  <c r="F659" i="5"/>
  <c r="G659" i="5" s="1"/>
  <c r="F654" i="5"/>
  <c r="G654" i="5" s="1"/>
  <c r="F644" i="5"/>
  <c r="G644" i="5" s="1"/>
  <c r="F641" i="5"/>
  <c r="G641" i="5" s="1"/>
  <c r="F636" i="5"/>
  <c r="G636" i="5" s="1"/>
  <c r="F633" i="5"/>
  <c r="F628" i="5"/>
  <c r="G628" i="5" s="1"/>
  <c r="F328" i="5"/>
  <c r="G328" i="5" s="1"/>
  <c r="F301" i="5"/>
  <c r="G301" i="5" s="1"/>
  <c r="F300" i="5"/>
  <c r="G300" i="5" s="1"/>
  <c r="F299" i="5"/>
  <c r="G299" i="5" s="1"/>
  <c r="F209" i="5"/>
  <c r="F169" i="5"/>
  <c r="G169" i="5" s="1"/>
  <c r="F162" i="5"/>
  <c r="G162" i="5" s="1"/>
  <c r="A5" i="5"/>
  <c r="D7" i="1"/>
  <c r="D6" i="1"/>
  <c r="C9" i="1" s="1"/>
  <c r="D5" i="1"/>
  <c r="J644" i="5" l="1"/>
  <c r="L644" i="5" s="1"/>
  <c r="N644" i="5"/>
  <c r="N654" i="5"/>
  <c r="J654" i="5"/>
  <c r="L654" i="5" s="1"/>
  <c r="O654" i="5" s="1"/>
  <c r="N659" i="5"/>
  <c r="J659" i="5"/>
  <c r="L659" i="5" s="1"/>
  <c r="N717" i="5"/>
  <c r="J717" i="5"/>
  <c r="L717" i="5" s="1"/>
  <c r="N636" i="5"/>
  <c r="J636" i="5"/>
  <c r="L636" i="5" s="1"/>
  <c r="O687" i="5"/>
  <c r="N641" i="5"/>
  <c r="J641" i="5"/>
  <c r="L641" i="5" s="1"/>
  <c r="N328" i="5"/>
  <c r="J328" i="5"/>
  <c r="L328" i="5" s="1"/>
  <c r="N628" i="5"/>
  <c r="J628" i="5"/>
  <c r="L628" i="5" s="1"/>
  <c r="J301" i="5"/>
  <c r="L301" i="5" s="1"/>
  <c r="N301" i="5"/>
  <c r="N299" i="5"/>
  <c r="J299" i="5"/>
  <c r="L299" i="5" s="1"/>
  <c r="O299" i="5" s="1"/>
  <c r="N300" i="5"/>
  <c r="J300" i="5"/>
  <c r="L300" i="5" s="1"/>
  <c r="N169" i="5"/>
  <c r="J169" i="5"/>
  <c r="L169" i="5" s="1"/>
  <c r="N162" i="5"/>
  <c r="J162" i="5"/>
  <c r="L162" i="5" s="1"/>
  <c r="G209" i="5"/>
  <c r="G680" i="5"/>
  <c r="G633" i="5"/>
  <c r="O717" i="5" l="1"/>
  <c r="O300" i="5"/>
  <c r="O641" i="5"/>
  <c r="O659" i="5"/>
  <c r="P656" i="5" s="1"/>
  <c r="O636" i="5"/>
  <c r="O328" i="5"/>
  <c r="J633" i="5"/>
  <c r="L633" i="5" s="1"/>
  <c r="N633" i="5"/>
  <c r="N680" i="5"/>
  <c r="J680" i="5"/>
  <c r="L680" i="5" s="1"/>
  <c r="O628" i="5"/>
  <c r="O644" i="5"/>
  <c r="O301" i="5"/>
  <c r="O169" i="5"/>
  <c r="N209" i="5"/>
  <c r="J209" i="5"/>
  <c r="L209" i="5" s="1"/>
  <c r="P715" i="5"/>
  <c r="O162" i="5"/>
  <c r="O680" i="5" l="1"/>
  <c r="O633" i="5"/>
  <c r="O209" i="5"/>
  <c r="P206" i="5" s="1"/>
  <c r="P677" i="5"/>
  <c r="P296" i="5"/>
  <c r="N746" i="5"/>
  <c r="N748" i="5" s="1"/>
  <c r="J746" i="5"/>
  <c r="L746" i="5"/>
  <c r="P363" i="5" l="1"/>
  <c r="P14" i="5"/>
  <c r="P166" i="5"/>
  <c r="N747" i="5"/>
  <c r="O747" i="5" s="1"/>
  <c r="P747" i="5" s="1"/>
  <c r="D7" i="5" s="1"/>
  <c r="L748" i="5"/>
  <c r="O748" i="5" s="1"/>
  <c r="P748" i="5" s="1"/>
  <c r="D8" i="5" s="1"/>
  <c r="O746" i="5"/>
  <c r="N749" i="5" l="1"/>
  <c r="P746" i="5"/>
  <c r="D6" i="5" s="1"/>
  <c r="O749" i="5"/>
  <c r="L749" i="5"/>
  <c r="P749" i="5" l="1"/>
  <c r="D9" i="5" s="1"/>
  <c r="D11" i="1" s="1"/>
</calcChain>
</file>

<file path=xl/sharedStrings.xml><?xml version="1.0" encoding="utf-8"?>
<sst xmlns="http://schemas.openxmlformats.org/spreadsheetml/2006/main" count="1662" uniqueCount="443">
  <si>
    <t>Project Cost Summary</t>
  </si>
  <si>
    <t>Date:</t>
  </si>
  <si>
    <t>Project Title:</t>
  </si>
  <si>
    <t>Project Location:</t>
  </si>
  <si>
    <t>Total Cost</t>
  </si>
  <si>
    <t>Base Bid</t>
  </si>
  <si>
    <t>Note: Changing values here will change the values in complete project</t>
  </si>
  <si>
    <t>Unit Wastage Percentages</t>
  </si>
  <si>
    <t>Unit</t>
  </si>
  <si>
    <t>Wastage</t>
  </si>
  <si>
    <t>EA</t>
  </si>
  <si>
    <t>LF</t>
  </si>
  <si>
    <t>SF</t>
  </si>
  <si>
    <t>LS</t>
  </si>
  <si>
    <t>LBS</t>
  </si>
  <si>
    <t>TONS</t>
  </si>
  <si>
    <t>CY</t>
  </si>
  <si>
    <t>Div No:</t>
  </si>
  <si>
    <t>Description</t>
  </si>
  <si>
    <t>Sub-Total=</t>
  </si>
  <si>
    <t>Material Tax=</t>
  </si>
  <si>
    <t>Overhead and Profit=</t>
  </si>
  <si>
    <t>Sr#</t>
  </si>
  <si>
    <t>Ref Sheet</t>
  </si>
  <si>
    <t>Quantity</t>
  </si>
  <si>
    <t>Wastage %</t>
  </si>
  <si>
    <t>Quantity With Wastage</t>
  </si>
  <si>
    <t>Unit Labor Hour</t>
  </si>
  <si>
    <t>Total Labor Hour</t>
  </si>
  <si>
    <t>Per Hour Labor Rate</t>
  </si>
  <si>
    <t>Total Labor Hour Rate</t>
  </si>
  <si>
    <t>Unit Material Cost</t>
  </si>
  <si>
    <t>Total Material Cost</t>
  </si>
  <si>
    <t>Trade Cost</t>
  </si>
  <si>
    <t>MATERIAL TAKEOFF AND COST SUMMARY</t>
  </si>
  <si>
    <t>Total Bid=</t>
  </si>
  <si>
    <t>Gross area of Structure=</t>
  </si>
  <si>
    <t>Internal Area of Structure=</t>
  </si>
  <si>
    <t>No. of Floors=</t>
  </si>
  <si>
    <t>Total Labor Cost</t>
  </si>
  <si>
    <t>Item Cost</t>
  </si>
  <si>
    <t>Total=</t>
  </si>
  <si>
    <t>Div-05</t>
  </si>
  <si>
    <t>Metals</t>
  </si>
  <si>
    <t>Paint</t>
  </si>
  <si>
    <t>Div-08</t>
  </si>
  <si>
    <t>Openings</t>
  </si>
  <si>
    <t>Door Hardware</t>
  </si>
  <si>
    <t>Windows</t>
  </si>
  <si>
    <t>Div-09</t>
  </si>
  <si>
    <t>Finishes</t>
  </si>
  <si>
    <t>Stud Walls</t>
  </si>
  <si>
    <t>Floor Finishes</t>
  </si>
  <si>
    <t>Floor Tiles</t>
  </si>
  <si>
    <t>Ceiling Finishes</t>
  </si>
  <si>
    <t>Base</t>
  </si>
  <si>
    <t>Wall Tiles</t>
  </si>
  <si>
    <t>Div-10</t>
  </si>
  <si>
    <t>Div-12</t>
  </si>
  <si>
    <t>Specialties</t>
  </si>
  <si>
    <t>Wall Paint</t>
  </si>
  <si>
    <t>Furnishing</t>
  </si>
  <si>
    <t>Cabinetry &amp; Millwork</t>
  </si>
  <si>
    <t>Div-03</t>
  </si>
  <si>
    <t>Concrete</t>
  </si>
  <si>
    <t>Concrete Slab</t>
  </si>
  <si>
    <t>Mobilization</t>
  </si>
  <si>
    <t>Mobilization for Concrete</t>
  </si>
  <si>
    <t>Acoustical Sealant at Top and Bottom on Both Sides</t>
  </si>
  <si>
    <t>Tapping</t>
  </si>
  <si>
    <t>Mudding Compound</t>
  </si>
  <si>
    <t>Screws</t>
  </si>
  <si>
    <t>Ceiling Paint</t>
  </si>
  <si>
    <t>Door Paint</t>
  </si>
  <si>
    <t>Door Trim</t>
  </si>
  <si>
    <t>Toilet Accessories</t>
  </si>
  <si>
    <t>Toilet Partition</t>
  </si>
  <si>
    <t>Div-06</t>
  </si>
  <si>
    <t>Wood, Plastics and Sheathing</t>
  </si>
  <si>
    <t>Trim Paint</t>
  </si>
  <si>
    <t>Div-11</t>
  </si>
  <si>
    <t>Equipment</t>
  </si>
  <si>
    <t>Div-22</t>
  </si>
  <si>
    <t>Plumbing</t>
  </si>
  <si>
    <t>Fixtures</t>
  </si>
  <si>
    <t>Allowance for Door Hardware</t>
  </si>
  <si>
    <t>Div-32</t>
  </si>
  <si>
    <t>Exterior Improvements</t>
  </si>
  <si>
    <t>Earthwork</t>
  </si>
  <si>
    <t>Div-31</t>
  </si>
  <si>
    <t>Landscaping</t>
  </si>
  <si>
    <t>Shelving Rod</t>
  </si>
  <si>
    <t>Exterior Paint</t>
  </si>
  <si>
    <t>Steel Column</t>
  </si>
  <si>
    <t>Wooden Post</t>
  </si>
  <si>
    <t>Wooden Beam</t>
  </si>
  <si>
    <t>Plywood Sheathing</t>
  </si>
  <si>
    <t>Stairs</t>
  </si>
  <si>
    <t>Div-07</t>
  </si>
  <si>
    <t>Thermal &amp; Moisture Protection</t>
  </si>
  <si>
    <t>Roofing</t>
  </si>
  <si>
    <t>Exterior Finishes</t>
  </si>
  <si>
    <t>Div-13</t>
  </si>
  <si>
    <t>Conveying Equipment</t>
  </si>
  <si>
    <t>Standing Seam Metal Roofing</t>
  </si>
  <si>
    <t>Concrete Pad Footing</t>
  </si>
  <si>
    <t>#5 Bar</t>
  </si>
  <si>
    <t>Concrete Strip Footing</t>
  </si>
  <si>
    <t>Concrete Foundation Wall</t>
  </si>
  <si>
    <t>Misc.</t>
  </si>
  <si>
    <t>Mobilization for Steel</t>
  </si>
  <si>
    <t>6" Compacted Fill</t>
  </si>
  <si>
    <t>Mobilization for Aggregate</t>
  </si>
  <si>
    <t>Site Amenities</t>
  </si>
  <si>
    <t>Insulation</t>
  </si>
  <si>
    <t>2" Polyiso Insulation</t>
  </si>
  <si>
    <t>Sealant</t>
  </si>
  <si>
    <t>Sealant for Doors</t>
  </si>
  <si>
    <t>Sealant for Windows</t>
  </si>
  <si>
    <r>
      <t>Soap Dispenser</t>
    </r>
    <r>
      <rPr>
        <sz val="12"/>
        <color rgb="FFFF0000"/>
        <rFont val="Calibri"/>
        <family val="2"/>
        <scheme val="minor"/>
      </rPr>
      <t xml:space="preserve"> (Assumed)</t>
    </r>
  </si>
  <si>
    <r>
      <t xml:space="preserve">Paper Towel Dispenser </t>
    </r>
    <r>
      <rPr>
        <sz val="12"/>
        <color rgb="FFFF0000"/>
        <rFont val="Calibri"/>
        <family val="2"/>
        <scheme val="minor"/>
      </rPr>
      <t>(Assumed)</t>
    </r>
  </si>
  <si>
    <t>Excavation</t>
  </si>
  <si>
    <t>Backfill</t>
  </si>
  <si>
    <t>Soil Export</t>
  </si>
  <si>
    <t>(1) 1/2" Gypsum Board on one Side (4'X8' Ea.)</t>
  </si>
  <si>
    <t>(2 X 6) Wood Stud @ 10' H</t>
  </si>
  <si>
    <t>(2 X 6) Top and Bottom Plate</t>
  </si>
  <si>
    <t>(2 X 6) Wood Stud @ 12' H</t>
  </si>
  <si>
    <t>(2 X 4) Wood Stud @ 12' H</t>
  </si>
  <si>
    <t>(2 X 4) Top and Bottom Plate</t>
  </si>
  <si>
    <t>(1) 1/2" Green Gypsum Board on one Side (4'X8' Ea.)</t>
  </si>
  <si>
    <t>(2 X 4) Wood Stud @ 10' H</t>
  </si>
  <si>
    <t>(1) 1/2" Gypsum Board on both Side (4'X8' Ea.)</t>
  </si>
  <si>
    <t>(1) 1/2" Green Gypsum Board on both Side (4'X8' Ea.)</t>
  </si>
  <si>
    <r>
      <t>Concrete Foundation Wall</t>
    </r>
    <r>
      <rPr>
        <b/>
        <sz val="12"/>
        <color rgb="FFFF0000"/>
        <rFont val="Calibri"/>
        <family val="2"/>
        <scheme val="minor"/>
      </rPr>
      <t xml:space="preserve"> (Assumed) </t>
    </r>
  </si>
  <si>
    <t>LaPrairie Home</t>
  </si>
  <si>
    <t>1887 Jennens Road West Kelowna, BC</t>
  </si>
  <si>
    <t>4- #5 Bar EW</t>
  </si>
  <si>
    <t>3- #5 Bar EW</t>
  </si>
  <si>
    <t>3- #5 Bar</t>
  </si>
  <si>
    <t>Concrete Pedestal</t>
  </si>
  <si>
    <r>
      <t xml:space="preserve">(24" Wide X 8" H) Continuous Concrete Footing (1/ S10) </t>
    </r>
    <r>
      <rPr>
        <b/>
        <sz val="12"/>
        <color theme="1"/>
        <rFont val="Calibri"/>
        <family val="2"/>
        <scheme val="minor"/>
      </rPr>
      <t>- (384 LF)</t>
    </r>
  </si>
  <si>
    <t>#3 Bar</t>
  </si>
  <si>
    <t>2- #5 Bar Cont. Bar</t>
  </si>
  <si>
    <t>#5 Bar EW</t>
  </si>
  <si>
    <t>4- #5 Bar</t>
  </si>
  <si>
    <t>#3 Bar Ties</t>
  </si>
  <si>
    <t>(4" Thk) Concrete Slab @ Garage</t>
  </si>
  <si>
    <t>6X6X6/6 WWM</t>
  </si>
  <si>
    <t>6 Mil Poly Vapor Barrier</t>
  </si>
  <si>
    <t>(4" Thk) Slab On Grade @ House</t>
  </si>
  <si>
    <t>(7" Thk) Concrete Slab @ 1F</t>
  </si>
  <si>
    <t>B1- (4) #6 Bar</t>
  </si>
  <si>
    <t>B2- (3) #8 Bar</t>
  </si>
  <si>
    <t>T1- (4) #6 Bar</t>
  </si>
  <si>
    <t>T2- (3) #8 Bar</t>
  </si>
  <si>
    <t>(9" X 16") Thickened Concrete slab (14a/S13)</t>
  </si>
  <si>
    <t>Concrete Beam &amp; Column</t>
  </si>
  <si>
    <t>#3 Ties @ 12" O.C</t>
  </si>
  <si>
    <t>(10" X 29") Concrete Beam B1 (15/S13)</t>
  </si>
  <si>
    <t>(6) #6 Bar T&amp;B</t>
  </si>
  <si>
    <t>2-#5 Bar EF</t>
  </si>
  <si>
    <r>
      <t xml:space="preserve">(3'-6" x 3'-6" x 12") Concrete Pad Footing (9/ S10) </t>
    </r>
    <r>
      <rPr>
        <b/>
        <sz val="12"/>
        <color theme="1"/>
        <rFont val="Calibri"/>
        <family val="2"/>
        <scheme val="minor"/>
      </rPr>
      <t>- (22 EA)</t>
    </r>
  </si>
  <si>
    <r>
      <t>(2'-6" x 2'-6" x 10") Concrete Pad Footing (7/ S10)</t>
    </r>
    <r>
      <rPr>
        <b/>
        <sz val="12"/>
        <color theme="1"/>
        <rFont val="Calibri"/>
        <family val="2"/>
        <scheme val="minor"/>
      </rPr>
      <t xml:space="preserve"> - (6 EA)</t>
    </r>
  </si>
  <si>
    <r>
      <t xml:space="preserve">(20" H X 8" Wide) Concrete Foundation Wall (4/S10) </t>
    </r>
    <r>
      <rPr>
        <b/>
        <sz val="12"/>
        <color theme="1"/>
        <rFont val="Calibri"/>
        <family val="2"/>
        <scheme val="minor"/>
      </rPr>
      <t>- (47 LF)</t>
    </r>
  </si>
  <si>
    <r>
      <t xml:space="preserve">(11'-4" H X 8" Wide) Concrete Foundation Wall (1/S10) </t>
    </r>
    <r>
      <rPr>
        <b/>
        <sz val="12"/>
        <color theme="1"/>
        <rFont val="Calibri"/>
        <family val="2"/>
        <scheme val="minor"/>
      </rPr>
      <t>- (110 LF)</t>
    </r>
  </si>
  <si>
    <r>
      <t xml:space="preserve">(8" Wide X 11'-6" H) Concrete Foundation Wall (1/ S10) </t>
    </r>
    <r>
      <rPr>
        <b/>
        <sz val="12"/>
        <color theme="1"/>
        <rFont val="Calibri"/>
        <family val="2"/>
        <scheme val="minor"/>
      </rPr>
      <t>- (201 LF)</t>
    </r>
  </si>
  <si>
    <r>
      <t xml:space="preserve">(8" Wide X 6" H) Foundation Wall (5/ S10) </t>
    </r>
    <r>
      <rPr>
        <b/>
        <sz val="12"/>
        <color theme="1"/>
        <rFont val="Calibri"/>
        <family val="2"/>
        <scheme val="minor"/>
      </rPr>
      <t>- (218 LF)</t>
    </r>
  </si>
  <si>
    <r>
      <t>(12" X 12" X 18" H) Concrete Pedestal (9/ S10)</t>
    </r>
    <r>
      <rPr>
        <b/>
        <sz val="12"/>
        <color theme="1"/>
        <rFont val="Calibri"/>
        <family val="2"/>
        <scheme val="minor"/>
      </rPr>
      <t xml:space="preserve"> - (22 EA)</t>
    </r>
  </si>
  <si>
    <r>
      <t xml:space="preserve">(12" X 12" X 16" H) Concrete Pedestal (10/ S10) </t>
    </r>
    <r>
      <rPr>
        <b/>
        <sz val="12"/>
        <color theme="1"/>
        <rFont val="Calibri"/>
        <family val="2"/>
        <scheme val="minor"/>
      </rPr>
      <t>- (4 EA)</t>
    </r>
  </si>
  <si>
    <t>Formwork</t>
  </si>
  <si>
    <t>Steel Beam</t>
  </si>
  <si>
    <t>W10X30 Beam</t>
  </si>
  <si>
    <t>W12X50 Beam</t>
  </si>
  <si>
    <t>W12X40 Beam</t>
  </si>
  <si>
    <t>W12X26 Beam</t>
  </si>
  <si>
    <t>(4" X 4" X 1/4") HSS Beam</t>
  </si>
  <si>
    <t>(4" X 4" X 1/4") HSS</t>
  </si>
  <si>
    <t>Base Plate/ Cap Plate</t>
  </si>
  <si>
    <t>(10" X 10" X 1/2") Base Plate</t>
  </si>
  <si>
    <t>(12" X 7" X 1/2") Cap Plate</t>
  </si>
  <si>
    <t>8" X 4" X 5/8" Bearing Plate</t>
  </si>
  <si>
    <t>(10" X 10" X 3/4") Cap Plate</t>
  </si>
  <si>
    <t>(10" X 8" X 1/2") Cap Plate</t>
  </si>
  <si>
    <t>(12" X 6" X 1/2") Cap Plate</t>
  </si>
  <si>
    <t>(6" Dia X 1/4") HSS</t>
  </si>
  <si>
    <t>(6" Dia X 3/8") HSS</t>
  </si>
  <si>
    <t>W12X50 Column</t>
  </si>
  <si>
    <t>W6X20 Column</t>
  </si>
  <si>
    <t>Floor/ Ceiling Joist</t>
  </si>
  <si>
    <t>11-7/8" TJI 230 Floor Joist @ 16" O.C</t>
  </si>
  <si>
    <t>11-7/8" TJI 560 Floor Joist @ 12" O.C</t>
  </si>
  <si>
    <t>(5-1/4" X 11-7/8") PSL Beam</t>
  </si>
  <si>
    <t>(5-1/4" X 16") PSL Beam</t>
  </si>
  <si>
    <t>(7" X 16") PSL Beam</t>
  </si>
  <si>
    <t>(7" X 11-7/8") PSL Beam</t>
  </si>
  <si>
    <t>(3-1/2" X 11-7/8") PSL Beam</t>
  </si>
  <si>
    <t>(6-3/4" X 6") GL Post @ 9'-6" H</t>
  </si>
  <si>
    <t>2 Ply (1-3/4" X 11-7/8") ML Beam</t>
  </si>
  <si>
    <t>(5-1/4" X 9-1/2") PSL Beam</t>
  </si>
  <si>
    <t>(2 X 10) Joist @ 16" O.C</t>
  </si>
  <si>
    <t>3 (2 X 10) Header</t>
  </si>
  <si>
    <t>(6-3/4" X 13-1/2") GL Beam</t>
  </si>
  <si>
    <t>2 (2 X 6) Beam</t>
  </si>
  <si>
    <t>(3-1/2" X 9-1/2") PSL Beam</t>
  </si>
  <si>
    <t>(2 X 6) Ledger</t>
  </si>
  <si>
    <t>(5-1/8" X 13-1/2") GL Beam</t>
  </si>
  <si>
    <t>(6-3/4" X 15") GL Beam</t>
  </si>
  <si>
    <t>(8-1/2" X 21") GL 24 fEX Beam</t>
  </si>
  <si>
    <t>(8-1/2" X 9") GL Post @ 11'-5" H</t>
  </si>
  <si>
    <t>4 (2 X 4) Beam</t>
  </si>
  <si>
    <t>3 (2 X 6) Wooden Post</t>
  </si>
  <si>
    <t>4 (2 X 6) Wooden Post</t>
  </si>
  <si>
    <t>2 (2 X 10) Beam</t>
  </si>
  <si>
    <t>(6-3/4" X 13-1/2") GL 24fEX Curved Beam</t>
  </si>
  <si>
    <t>(2 X 4) Joist @ 12" O.C</t>
  </si>
  <si>
    <t>5/8" Plywood</t>
  </si>
  <si>
    <t>(2 X 8") Joist @ 16" O.C</t>
  </si>
  <si>
    <t>3" Extruded CPS Insulation</t>
  </si>
  <si>
    <t>4" Compacted Fill</t>
  </si>
  <si>
    <t>(4" Dia) Perforated Pipe for Radon Ventilation</t>
  </si>
  <si>
    <t>Dimpleboard Drainage Layer</t>
  </si>
  <si>
    <t>Spray on Bituminous Membrane</t>
  </si>
  <si>
    <t>Keena 10mm DirwallTM Rainscreen (Drainage/ Ventilation Mat)</t>
  </si>
  <si>
    <t>1-1/2" T&amp;G D Fir Decking</t>
  </si>
  <si>
    <t>(7'-3" X 9'-7") Window</t>
  </si>
  <si>
    <t>(1'-6" X 6'-6") Window</t>
  </si>
  <si>
    <t>(1'-6" X 8'-0") Window</t>
  </si>
  <si>
    <t>(2'-0" X 2'-0") Window</t>
  </si>
  <si>
    <t>(6'-2" X 5'-6") Window</t>
  </si>
  <si>
    <t>(3'-2" X 8'-0") Window</t>
  </si>
  <si>
    <t>(2'-6" X 5'-0") Window</t>
  </si>
  <si>
    <t>(4'-0" X 8'-0") Window</t>
  </si>
  <si>
    <t>(2'-6" X 8'-0") Window</t>
  </si>
  <si>
    <t>(5'-0" X 5'-0") Window</t>
  </si>
  <si>
    <t>(4'-6" X 8'-0") Window</t>
  </si>
  <si>
    <t>(11'-2" X 3'-5") Raked Window</t>
  </si>
  <si>
    <t>(7'-8" X 2'-6") Window</t>
  </si>
  <si>
    <t>(7'-3" X 14'-2") Raked Window</t>
  </si>
  <si>
    <t>(6'-2" X 8'-0") Window</t>
  </si>
  <si>
    <t>(5'-0" X 8'-0") Window</t>
  </si>
  <si>
    <t>(19'-2" X 4'-1") Raked Window</t>
  </si>
  <si>
    <t>(9'-5" X 4'-1") Window</t>
  </si>
  <si>
    <t>(15'-5" X 4'-1") Raked Window</t>
  </si>
  <si>
    <t>(24" Dia) Window</t>
  </si>
  <si>
    <t>(6'-5" X 2'-8") Window</t>
  </si>
  <si>
    <t>(3'-6" X 2'-6") Window</t>
  </si>
  <si>
    <t>(8'-4" X 7'-2") Raked Window</t>
  </si>
  <si>
    <t>(10'-6" X 7'-6") Raked Window</t>
  </si>
  <si>
    <t>(6'-2" X 2'-0") Window</t>
  </si>
  <si>
    <t>(14'-4" X 3'-0") Raked Window</t>
  </si>
  <si>
    <t>(5'-3" X 8'-0") Raked Window</t>
  </si>
  <si>
    <t>(2'-6" X 7'-6") Window</t>
  </si>
  <si>
    <t>(16'-0" X 8'-0") Overhead Garage Door</t>
  </si>
  <si>
    <t>(3'-3" X 7'-10-1/2") Door W/ Frame</t>
  </si>
  <si>
    <t>(3'-6" X 7'-10-1/2") Door W/ Frame</t>
  </si>
  <si>
    <t>(8'-0" X 7'-10-1/2") Door W/ Frame</t>
  </si>
  <si>
    <t>(24'-2" X 7'-10-1/2") Door W/ Frame</t>
  </si>
  <si>
    <t>(9'-0" X 7'-10-1/2") Door W/ Frame</t>
  </si>
  <si>
    <t>(10'-2" X 7'-10-1/2") Door W/ Frame</t>
  </si>
  <si>
    <t>(3'-0" X 6'-10-1/2") Door W/ Frame</t>
  </si>
  <si>
    <t>(3'-0" X 2'-8") Door W/ Frame</t>
  </si>
  <si>
    <t>(3'-0" X 6'-8") Door W/ Frame</t>
  </si>
  <si>
    <t>(3'-6" X 8'-0") Door W/ Frame</t>
  </si>
  <si>
    <t>(20'-6" X 8'-0") Door W/ Frame</t>
  </si>
  <si>
    <t>(4'-0" X 5'-0") Door W/ Frame</t>
  </si>
  <si>
    <t>(4'-0" X 8'-0") Door W/ Frame</t>
  </si>
  <si>
    <t>(2'-8" X 7'-10-1/2") Door W/ Frame</t>
  </si>
  <si>
    <t>(3'-0" X 7'-10-1/2") Door W/ Frame</t>
  </si>
  <si>
    <t>(2'-10" X 7'-10-1/2") Door W/ Frame</t>
  </si>
  <si>
    <t>(2'-6" X 7'-10-1/2") Door W/ Frame</t>
  </si>
  <si>
    <t>(6'-0" X 7'-10-1/2") Door W/ Frame</t>
  </si>
  <si>
    <t>(2'-0" X 7'-10-1/2") Door W/ Frame</t>
  </si>
  <si>
    <t>(25'-8" X 7'-10-1/2") Door W/ Frame</t>
  </si>
  <si>
    <t>(13'-10" X 7'-10-1/2") Door W/ Frame</t>
  </si>
  <si>
    <t>(8'-2" X 7'-10-1/2") Door W/ Frame</t>
  </si>
  <si>
    <t>(4'-0" X 7'-10-1/2") Door W/ Frame</t>
  </si>
  <si>
    <t>(37'-2" X 9'-0") Door W/ Frame</t>
  </si>
  <si>
    <t>(14'-4" X 6'-10-1/2") Door W/ Frame</t>
  </si>
  <si>
    <t>(2'-6" X 6'-10-1/2") Door W/ Frame</t>
  </si>
  <si>
    <r>
      <t xml:space="preserve">Doors </t>
    </r>
    <r>
      <rPr>
        <b/>
        <sz val="12"/>
        <color rgb="FFFF0000"/>
        <rFont val="Calibri"/>
        <family val="2"/>
        <scheme val="minor"/>
      </rPr>
      <t>(Clear VG Fir Frame + Panel Wood Doors)</t>
    </r>
  </si>
  <si>
    <t>(2'-1" Wide) Countertop</t>
  </si>
  <si>
    <t>(2'-2" Wide) Countertop</t>
  </si>
  <si>
    <t>(1'-10" Wide) Countertop</t>
  </si>
  <si>
    <t>(5' X 8') Kitchen Island</t>
  </si>
  <si>
    <t>(4'-6" X 8'-8") Countertop</t>
  </si>
  <si>
    <t>(24" Wide X 36" H) Base Cabinet</t>
  </si>
  <si>
    <t>(12" Wide X 32" H) Upper Cabinet</t>
  </si>
  <si>
    <t>(24" Wide X 20" H) Vanity</t>
  </si>
  <si>
    <t>(26" Wide X 20" H) Vanity</t>
  </si>
  <si>
    <t>(22" Wide X 18" H) Vanity</t>
  </si>
  <si>
    <t>(24" Deep X 7'-0" H) Closet</t>
  </si>
  <si>
    <t>(24" Wide) Bench @ Sauna</t>
  </si>
  <si>
    <t>(36" Deep X 7'-0" H) Closet</t>
  </si>
  <si>
    <t>(12" Wide) Shelving</t>
  </si>
  <si>
    <t>(5'-4" X 5'-0") Elevator</t>
  </si>
  <si>
    <t>(2'-9" X 7'-0") Bath Tub</t>
  </si>
  <si>
    <t>(36" x 78") Bath Tub</t>
  </si>
  <si>
    <t>Shower Head</t>
  </si>
  <si>
    <t>WC</t>
  </si>
  <si>
    <t>Sink W/ Faucet</t>
  </si>
  <si>
    <t>Double Compartment Sink</t>
  </si>
  <si>
    <t>(42" x 76") Bath Tub</t>
  </si>
  <si>
    <t>(6'-9" H) Bath Glass Enclosure</t>
  </si>
  <si>
    <t>24" Grab Bar</t>
  </si>
  <si>
    <r>
      <t>(24" X 36") Mirror</t>
    </r>
    <r>
      <rPr>
        <sz val="12"/>
        <color rgb="FFFF0000"/>
        <rFont val="Calibri"/>
        <family val="2"/>
        <scheme val="minor"/>
      </rPr>
      <t xml:space="preserve"> (Assumed)</t>
    </r>
  </si>
  <si>
    <t>(2'-1" X 5'-6") Cooking Range</t>
  </si>
  <si>
    <t>Ice Maker</t>
  </si>
  <si>
    <t>Fridge W/ Freezer</t>
  </si>
  <si>
    <t>(36" X 34") BBQ Grill</t>
  </si>
  <si>
    <t>Interior/ Exterior Handrail &amp; Guardrail</t>
  </si>
  <si>
    <t>(60" H) Guardrail W/ Non Climbable Edge</t>
  </si>
  <si>
    <t>(8' H) Security Wall</t>
  </si>
  <si>
    <t>(9' H) Security Wall</t>
  </si>
  <si>
    <t>(36" H) Interior Handrail @ Stairs</t>
  </si>
  <si>
    <t>(42" H) 5/8" Monolithic Glass Screen Guardrail</t>
  </si>
  <si>
    <t>(36" H) 5/8" Monolithic Glass Screen Guardrail</t>
  </si>
  <si>
    <t>Screen Wall</t>
  </si>
  <si>
    <t>F9- (24" X 48") Tiles on Pedestal</t>
  </si>
  <si>
    <t>Ceramic Tile</t>
  </si>
  <si>
    <t>Sealed Concrete @ Garage</t>
  </si>
  <si>
    <t>Carpet Tile</t>
  </si>
  <si>
    <t>Sealed Concrete @ (Mech, Storage etc.) Assumed</t>
  </si>
  <si>
    <t>(1" X 2") VG Fir Baseboard</t>
  </si>
  <si>
    <t>Wood Decking</t>
  </si>
  <si>
    <t>Exterior Wood Decking @ Balcony</t>
  </si>
  <si>
    <t>Pool Decking</t>
  </si>
  <si>
    <t>(24" Wide X 34" H) Base Cabinet</t>
  </si>
  <si>
    <t>1/2" Gypsum Board Ceiling</t>
  </si>
  <si>
    <t>1/2" Green Gypsum Board Ceiling</t>
  </si>
  <si>
    <t>Paint on Exposed Ceiling</t>
  </si>
  <si>
    <t>Paint on Gypsum Board Ceiling</t>
  </si>
  <si>
    <t>1/2" Resilient Channels</t>
  </si>
  <si>
    <t>Hose Bib</t>
  </si>
  <si>
    <t>Silva Panel</t>
  </si>
  <si>
    <t>(6" X 6") Moroccan Tile</t>
  </si>
  <si>
    <t>Stucco &amp; Cement Plaster Base</t>
  </si>
  <si>
    <t>Keene 10mm DriwallTM Rainscreen</t>
  </si>
  <si>
    <t>1/2" Plywood @ Floor/ Roof</t>
  </si>
  <si>
    <t>1/2" Plywood @ Exterior Wall</t>
  </si>
  <si>
    <t>Slat Wall</t>
  </si>
  <si>
    <t>(7'-0" H) Wood Slat Screen Wall</t>
  </si>
  <si>
    <t>Scupper</t>
  </si>
  <si>
    <t>(9" H) Wood Fascia</t>
  </si>
  <si>
    <t>(8" H) Aluminum Fascia</t>
  </si>
  <si>
    <t>(12" H) Aluminum Fascia</t>
  </si>
  <si>
    <t>(7" H) Wood Fascia</t>
  </si>
  <si>
    <t>(4" H) Wood Fascia</t>
  </si>
  <si>
    <t>(12" Wide) Metal Coping</t>
  </si>
  <si>
    <t>(3" Dia) Drain Pipe</t>
  </si>
  <si>
    <t>8" Gutter</t>
  </si>
  <si>
    <t>Drip Edge Flashing</t>
  </si>
  <si>
    <t>Breathable Underlayment Slip Sheat (SRP Air Sheild)</t>
  </si>
  <si>
    <t>1/2" Protection/ Roof Board</t>
  </si>
  <si>
    <t>3 Layer- 2" Extruded Polystyrene XPS Insulation</t>
  </si>
  <si>
    <t>Vapor Impermeable Self Adhered Membrane SAM</t>
  </si>
  <si>
    <t>2 Ply Bituminous Roofing Membrane</t>
  </si>
  <si>
    <t>Div-33</t>
  </si>
  <si>
    <t>Utilities</t>
  </si>
  <si>
    <t>(3" Wide) Trench Drain</t>
  </si>
  <si>
    <t>(4" Wide) Trench Drain</t>
  </si>
  <si>
    <t>(24" Wide) Wood Bench</t>
  </si>
  <si>
    <t>(15" Wide) Landscape Wall</t>
  </si>
  <si>
    <t>(12" Wide X 21" H) Landscape Wall</t>
  </si>
  <si>
    <t>(6" Wide) Landscape Wall</t>
  </si>
  <si>
    <t>Concrete Walkway</t>
  </si>
  <si>
    <t>Concrete Walkway (6" Slab Assumed)</t>
  </si>
  <si>
    <t>Concrete Stairs (6" thk Assumed)</t>
  </si>
  <si>
    <t>Paint on Door Trim</t>
  </si>
  <si>
    <t>Paint on Wall</t>
  </si>
  <si>
    <t>Exterior Wall W3 @ 7'-7" H</t>
  </si>
  <si>
    <t>1-1/2" Continuous Outboard Mineral Wood Insulation</t>
  </si>
  <si>
    <t>Vapor Permeabale Air Barrier</t>
  </si>
  <si>
    <t>R20 Mineral Wool Batt Insulation</t>
  </si>
  <si>
    <t>Exterior Wall W3 @ 7'-7" H (Painted) 1GB</t>
  </si>
  <si>
    <t>(2 X 6) Wood Stud @ 8' H</t>
  </si>
  <si>
    <t>Exterior Wall W3 @ 8'-0" H (Painted)</t>
  </si>
  <si>
    <t>Exterior Wall W3 @ 8'-11" H (Painted)</t>
  </si>
  <si>
    <t>Exterior Wall W3 @ 8'-11" H (Painted) 1GB</t>
  </si>
  <si>
    <t>Exterior Wall W3 @ 8'-8" H (Painted)</t>
  </si>
  <si>
    <t>Exterior Wall W3 @ 8'-8" H (Painted) 1GB</t>
  </si>
  <si>
    <t>Exterior Wall W3 @ 9'-11" H (Painted)</t>
  </si>
  <si>
    <t>Exterior Wall W3 @ 9'-4" H (Painted) 1GB</t>
  </si>
  <si>
    <t>Exterior Wall W3 @ 9'-6" H (Painted)</t>
  </si>
  <si>
    <t>Exterior Wall W3 @ 9'-6" H (Painted) 1GB</t>
  </si>
  <si>
    <t>Exterior Wall W3 @ 11'-0" H (Painted)</t>
  </si>
  <si>
    <t>Exterior Wall W3 @ 11'-2" H (Painted)</t>
  </si>
  <si>
    <t>Exterior Wall W3 @ 11'-4" H (Painted)</t>
  </si>
  <si>
    <t>Exterior Wall W3 @ 11'-4" H (Painted) 1GB</t>
  </si>
  <si>
    <t>Exterior Wall W3 @ 11'-5" H (Painted)</t>
  </si>
  <si>
    <t>Exterior Wall W3B @ 9'-6" H (Painted) 1GB</t>
  </si>
  <si>
    <t>Interior Wall W2 @ 9'-6" H (Painted)</t>
  </si>
  <si>
    <t>Interior Wall W8 @ 8'-8" H (Painted)</t>
  </si>
  <si>
    <t>Interior Wall W8 @ 8'-8" H (Painted) 1GB</t>
  </si>
  <si>
    <t>Interior Wall W8 @ 8'-11" H (Painted) 1GB</t>
  </si>
  <si>
    <t>Interior Wall W8 @ 8'-8" H (Painted) 2GB</t>
  </si>
  <si>
    <t>Interior Wall W8 @ 9'-4" H (Painted)</t>
  </si>
  <si>
    <t>Interior Wall W8 @ 9'-6" H (Painted)</t>
  </si>
  <si>
    <t>Interior Wall W8 @ 9'-9" H (Painted)</t>
  </si>
  <si>
    <t>Interior Wall W8 @ 9'-6" H (Painted)1gb</t>
  </si>
  <si>
    <t>Interior Wall W8 @ 11'-2" H (Painted)</t>
  </si>
  <si>
    <t>Interior Wall W8 @ 12'-7" H (Painted) 1gb</t>
  </si>
  <si>
    <t>Interior Wall W8 @ 13'-0" H (Painted) 1gb</t>
  </si>
  <si>
    <t>Interior Wall W8 @ 13'-2" H (Painted) 1gb</t>
  </si>
  <si>
    <t>14" Rammed Earth Wall</t>
  </si>
  <si>
    <t>4" Extruded XPS Insulation</t>
  </si>
  <si>
    <t>(2) 5" Thk Rammed Earth Reinforced Wall</t>
  </si>
  <si>
    <t>14" Thk Rammed Earth Reinforced Wall</t>
  </si>
  <si>
    <t>4" Insulation</t>
  </si>
  <si>
    <t>1" Rigid Insulation @ Endwall</t>
  </si>
  <si>
    <t>3/4" Tile</t>
  </si>
  <si>
    <t>Paint on Stucco</t>
  </si>
  <si>
    <t>Paint on Doors</t>
  </si>
  <si>
    <t>Mini Fridge Undercounter</t>
  </si>
  <si>
    <t>Dishwasher</t>
  </si>
  <si>
    <t>(4" Dia) Polyethylene Perforated Drainage Pipe</t>
  </si>
  <si>
    <t>2" Glass Tread (4x- 1/2" Laminations)</t>
  </si>
  <si>
    <t>Skylight</t>
  </si>
  <si>
    <t>Skylight @ Bridge</t>
  </si>
  <si>
    <t>Waterproofing Membrane @ Pedestal Area</t>
  </si>
  <si>
    <r>
      <t xml:space="preserve">(42" X 42" X 12") Concrete Pad Footing (11/S10) </t>
    </r>
    <r>
      <rPr>
        <b/>
        <sz val="12"/>
        <color theme="1"/>
        <rFont val="Calibri"/>
        <family val="2"/>
        <scheme val="minor"/>
      </rPr>
      <t>- (4 EA)</t>
    </r>
  </si>
  <si>
    <r>
      <t xml:space="preserve">(54" X 54" X 12") Concrete Pad Footing (13/S10) </t>
    </r>
    <r>
      <rPr>
        <b/>
        <sz val="12"/>
        <color theme="1"/>
        <rFont val="Calibri"/>
        <family val="2"/>
        <scheme val="minor"/>
      </rPr>
      <t>- (2 EA)</t>
    </r>
  </si>
  <si>
    <t>5- #5 Bar EW</t>
  </si>
  <si>
    <r>
      <t xml:space="preserve">(30" X 30" X 10") Concrete Pad Footing (12/S10) </t>
    </r>
    <r>
      <rPr>
        <b/>
        <sz val="12"/>
        <color theme="1"/>
        <rFont val="Calibri"/>
        <family val="2"/>
        <scheme val="minor"/>
      </rPr>
      <t>- (3 EA)</t>
    </r>
  </si>
  <si>
    <r>
      <t xml:space="preserve">(3'-0" x 3'-0" x 10") Concrete Pad Footing </t>
    </r>
    <r>
      <rPr>
        <b/>
        <sz val="12"/>
        <color theme="1"/>
        <rFont val="Calibri"/>
        <family val="2"/>
        <scheme val="minor"/>
      </rPr>
      <t>- (4 EA)</t>
    </r>
  </si>
  <si>
    <r>
      <t>(5'-6" x 5'-6" x 14") Concrete Pad Footing (10/ S10)</t>
    </r>
    <r>
      <rPr>
        <b/>
        <sz val="12"/>
        <color theme="1"/>
        <rFont val="Calibri"/>
        <family val="2"/>
        <scheme val="minor"/>
      </rPr>
      <t xml:space="preserve"> - (4 EA)</t>
    </r>
  </si>
  <si>
    <t>6- #5 Bar EW</t>
  </si>
  <si>
    <r>
      <t>(24" Wide X 8" H) Cont. Concrete Footing (6/S10)</t>
    </r>
    <r>
      <rPr>
        <b/>
        <sz val="12"/>
        <color theme="1"/>
        <rFont val="Calibri"/>
        <family val="2"/>
        <scheme val="minor"/>
      </rPr>
      <t xml:space="preserve"> - (146 LF)</t>
    </r>
  </si>
  <si>
    <r>
      <t xml:space="preserve">(24" Wide X 10" H) Continuous Concrete Footing (17/ S10) </t>
    </r>
    <r>
      <rPr>
        <b/>
        <sz val="12"/>
        <color theme="1"/>
        <rFont val="Calibri"/>
        <family val="2"/>
        <scheme val="minor"/>
      </rPr>
      <t>- (29 LF)</t>
    </r>
  </si>
  <si>
    <t>#5 Bar @ 12" O.C</t>
  </si>
  <si>
    <r>
      <t>(12" H X 8" Wide) Concrete Foundation Wall (6/S10)</t>
    </r>
    <r>
      <rPr>
        <b/>
        <sz val="12"/>
        <color theme="1"/>
        <rFont val="Calibri"/>
        <family val="2"/>
        <scheme val="minor"/>
      </rPr>
      <t xml:space="preserve"> - (15 LF)</t>
    </r>
  </si>
  <si>
    <t>2- #5 Bar</t>
  </si>
  <si>
    <r>
      <t xml:space="preserve">(12" Wide X 8" Thk X 22" H) Concrete Foundation Wall (13/S10) </t>
    </r>
    <r>
      <rPr>
        <b/>
        <sz val="12"/>
        <color theme="1"/>
        <rFont val="Calibri"/>
        <family val="2"/>
        <scheme val="minor"/>
      </rPr>
      <t>- (2 LF)</t>
    </r>
  </si>
  <si>
    <r>
      <t>(14" Wide X 14" H) Foundation Wall (5/ S10)</t>
    </r>
    <r>
      <rPr>
        <b/>
        <sz val="12"/>
        <color theme="1"/>
        <rFont val="Calibri"/>
        <family val="2"/>
        <scheme val="minor"/>
      </rPr>
      <t xml:space="preserve"> - (35 LF)</t>
    </r>
  </si>
  <si>
    <t>(2'-2" X 7") Beam (5/S13)</t>
  </si>
  <si>
    <t>(10" X 29") Concrete Beam B1 (10a/S13)</t>
  </si>
  <si>
    <t>(10" X65") Concrete Drop Beam B1 (16/S13)</t>
  </si>
  <si>
    <t>#5 Bar @ 12" O.C EW</t>
  </si>
  <si>
    <t>#3 Bar @ 12" O.C</t>
  </si>
  <si>
    <t>(8" X 28") Concrete Beam (13/S13)</t>
  </si>
  <si>
    <t>(10" X 32") Concrete Beam (14/S13)</t>
  </si>
  <si>
    <t>(24" X 10") Concrete Column @ 9'-6" H (7/S13)</t>
  </si>
  <si>
    <t>#6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</si>
</sst>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$-409]* #,##0.00_);_([$$-409]* \(#,##0.00\);_([$$-409]* &quot;-&quot;??_);_(@_)"/>
    <numFmt numFmtId="165" formatCode="0.0%"/>
    <numFmt numFmtId="166" formatCode="0.000"/>
    <numFmt numFmtId="167" formatCode="0.0"/>
    <numFmt numFmtId="168" formatCode="_([$$-409]* #,##0.0_);_([$$-409]* \(#,##0.0\);_([$$-409]* &quot;-&quot;??_);_(@_)"/>
    <numFmt numFmtId="169" formatCode="_([$$-409]* #,##0_);_([$$-409]* \(#,##0\);_([$$-409]* &quot;-&quot;??_);_(@_)"/>
    <numFmt numFmtId="170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8" borderId="28" applyNumberFormat="0" applyFont="0" applyAlignment="0" applyProtection="0"/>
    <xf numFmtId="0" fontId="9" fillId="12" borderId="49" applyNumberFormat="0" applyFont="0" applyAlignment="0" applyProtection="0"/>
  </cellStyleXfs>
  <cellXfs count="121">
    <xf numFmtId="0" fontId="0" fillId="0" borderId="0" xfId="0"/>
    <xf numFmtId="0" fontId="4" fillId="0" borderId="0" xfId="0" applyFont="1" applyAlignment="1">
      <alignment vertical="top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6" borderId="0" xfId="0" applyFont="1" applyFill="1" applyAlignment="1">
      <alignment vertical="top"/>
    </xf>
    <xf numFmtId="0" fontId="1" fillId="6" borderId="10" xfId="0" applyFont="1" applyFill="1" applyBorder="1" applyAlignment="1">
      <alignment vertical="top"/>
    </xf>
    <xf numFmtId="0" fontId="4" fillId="6" borderId="0" xfId="0" applyFont="1" applyFill="1" applyAlignment="1">
      <alignment vertical="center"/>
    </xf>
    <xf numFmtId="0" fontId="4" fillId="6" borderId="24" xfId="0" applyFont="1" applyFill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1" fillId="6" borderId="11" xfId="0" applyNumberFormat="1" applyFont="1" applyFill="1" applyBorder="1" applyAlignment="1">
      <alignment vertical="top"/>
    </xf>
    <xf numFmtId="164" fontId="1" fillId="6" borderId="13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center"/>
    </xf>
    <xf numFmtId="164" fontId="4" fillId="6" borderId="2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right" vertical="top"/>
    </xf>
    <xf numFmtId="1" fontId="4" fillId="6" borderId="0" xfId="0" applyNumberFormat="1" applyFont="1" applyFill="1" applyAlignment="1">
      <alignment horizontal="right" vertical="top"/>
    </xf>
    <xf numFmtId="1" fontId="4" fillId="6" borderId="0" xfId="0" applyNumberFormat="1" applyFont="1" applyFill="1" applyAlignment="1">
      <alignment horizontal="right" vertical="center"/>
    </xf>
    <xf numFmtId="1" fontId="4" fillId="6" borderId="24" xfId="0" applyNumberFormat="1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9" fontId="4" fillId="6" borderId="9" xfId="0" applyNumberFormat="1" applyFont="1" applyFill="1" applyBorder="1" applyAlignment="1">
      <alignment vertical="center"/>
    </xf>
    <xf numFmtId="9" fontId="4" fillId="6" borderId="12" xfId="0" applyNumberFormat="1" applyFont="1" applyFill="1" applyBorder="1" applyAlignment="1">
      <alignment vertical="center"/>
    </xf>
    <xf numFmtId="9" fontId="4" fillId="6" borderId="22" xfId="0" applyNumberFormat="1" applyFont="1" applyFill="1" applyBorder="1" applyAlignment="1">
      <alignment vertical="center"/>
    </xf>
    <xf numFmtId="9" fontId="1" fillId="4" borderId="14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9" fontId="4" fillId="0" borderId="24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164" fontId="4" fillId="0" borderId="26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1" fontId="6" fillId="9" borderId="29" xfId="1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top"/>
    </xf>
    <xf numFmtId="166" fontId="4" fillId="0" borderId="0" xfId="0" applyNumberFormat="1" applyFont="1" applyAlignment="1">
      <alignment horizontal="center" vertical="center"/>
    </xf>
    <xf numFmtId="14" fontId="4" fillId="6" borderId="10" xfId="0" applyNumberFormat="1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65" fontId="4" fillId="0" borderId="39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4" fillId="6" borderId="40" xfId="0" applyFont="1" applyFill="1" applyBorder="1" applyAlignment="1">
      <alignment vertical="top"/>
    </xf>
    <xf numFmtId="14" fontId="1" fillId="6" borderId="41" xfId="0" applyNumberFormat="1" applyFont="1" applyFill="1" applyBorder="1" applyAlignment="1">
      <alignment vertical="top"/>
    </xf>
    <xf numFmtId="0" fontId="4" fillId="6" borderId="42" xfId="0" applyFont="1" applyFill="1" applyBorder="1" applyAlignment="1">
      <alignment vertical="top"/>
    </xf>
    <xf numFmtId="0" fontId="4" fillId="6" borderId="33" xfId="0" applyFont="1" applyFill="1" applyBorder="1" applyAlignment="1">
      <alignment vertical="top"/>
    </xf>
    <xf numFmtId="14" fontId="1" fillId="6" borderId="34" xfId="0" applyNumberFormat="1" applyFont="1" applyFill="1" applyBorder="1" applyAlignment="1">
      <alignment vertical="top"/>
    </xf>
    <xf numFmtId="0" fontId="2" fillId="11" borderId="0" xfId="0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" fillId="7" borderId="16" xfId="0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164" fontId="1" fillId="7" borderId="18" xfId="0" applyNumberFormat="1" applyFont="1" applyFill="1" applyBorder="1" applyAlignment="1">
      <alignment vertical="center"/>
    </xf>
    <xf numFmtId="1" fontId="1" fillId="7" borderId="16" xfId="0" applyNumberFormat="1" applyFont="1" applyFill="1" applyBorder="1" applyAlignment="1">
      <alignment vertical="center"/>
    </xf>
    <xf numFmtId="9" fontId="1" fillId="7" borderId="16" xfId="0" applyNumberFormat="1" applyFont="1" applyFill="1" applyBorder="1" applyAlignment="1">
      <alignment vertical="center"/>
    </xf>
    <xf numFmtId="0" fontId="1" fillId="7" borderId="19" xfId="0" applyFont="1" applyFill="1" applyBorder="1" applyAlignment="1">
      <alignment horizontal="center" vertical="center"/>
    </xf>
    <xf numFmtId="169" fontId="1" fillId="7" borderId="18" xfId="0" applyNumberFormat="1" applyFont="1" applyFill="1" applyBorder="1" applyAlignment="1">
      <alignment vertical="center"/>
    </xf>
    <xf numFmtId="14" fontId="1" fillId="6" borderId="43" xfId="0" applyNumberFormat="1" applyFont="1" applyFill="1" applyBorder="1" applyAlignment="1">
      <alignment vertical="top" wrapText="1"/>
    </xf>
    <xf numFmtId="165" fontId="4" fillId="0" borderId="48" xfId="0" applyNumberFormat="1" applyFont="1" applyBorder="1" applyAlignment="1">
      <alignment horizontal="center" vertical="center"/>
    </xf>
    <xf numFmtId="170" fontId="4" fillId="0" borderId="27" xfId="0" applyNumberFormat="1" applyFont="1" applyBorder="1" applyAlignment="1">
      <alignment vertical="center"/>
    </xf>
    <xf numFmtId="170" fontId="4" fillId="0" borderId="26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170" fontId="4" fillId="0" borderId="13" xfId="0" applyNumberFormat="1" applyFont="1" applyBorder="1" applyAlignment="1">
      <alignment vertical="center"/>
    </xf>
    <xf numFmtId="170" fontId="4" fillId="0" borderId="24" xfId="0" applyNumberFormat="1" applyFont="1" applyBorder="1" applyAlignment="1">
      <alignment vertical="center"/>
    </xf>
    <xf numFmtId="170" fontId="4" fillId="0" borderId="23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vertical="center"/>
    </xf>
    <xf numFmtId="170" fontId="4" fillId="0" borderId="44" xfId="0" applyNumberFormat="1" applyFont="1" applyBorder="1" applyAlignment="1">
      <alignment vertical="center"/>
    </xf>
    <xf numFmtId="170" fontId="4" fillId="0" borderId="46" xfId="0" applyNumberFormat="1" applyFont="1" applyBorder="1" applyAlignment="1">
      <alignment vertical="center"/>
    </xf>
    <xf numFmtId="170" fontId="4" fillId="0" borderId="45" xfId="0" applyNumberFormat="1" applyFont="1" applyBorder="1" applyAlignment="1">
      <alignment vertical="center"/>
    </xf>
    <xf numFmtId="170" fontId="4" fillId="0" borderId="30" xfId="0" applyNumberFormat="1" applyFont="1" applyBorder="1" applyAlignment="1">
      <alignment vertical="center"/>
    </xf>
    <xf numFmtId="1" fontId="4" fillId="6" borderId="0" xfId="0" applyNumberFormat="1" applyFont="1" applyFill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169" fontId="4" fillId="0" borderId="34" xfId="0" applyNumberFormat="1" applyFont="1" applyBorder="1" applyAlignment="1">
      <alignment horizontal="left" vertical="top"/>
    </xf>
    <xf numFmtId="2" fontId="4" fillId="0" borderId="0" xfId="0" applyNumberFormat="1" applyFont="1" applyAlignment="1">
      <alignment vertical="center" wrapText="1"/>
    </xf>
    <xf numFmtId="0" fontId="4" fillId="13" borderId="0" xfId="0" applyFont="1" applyFill="1" applyAlignment="1">
      <alignment vertical="center" wrapText="1"/>
    </xf>
    <xf numFmtId="0" fontId="1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2" fillId="10" borderId="25" xfId="0" applyNumberFormat="1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top"/>
    </xf>
  </cellXfs>
  <cellStyles count="3">
    <cellStyle name="Normal" xfId="0" builtinId="0"/>
    <cellStyle name="Note" xfId="1" builtinId="10"/>
    <cellStyle name="Note 10 2 10 6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REELANCE\UPWORK\68.%20Kevin%20Barnett%20Construction\3.%20LaPrairie%20Home\LaPrairie%20Home%20ORIGINAL.xlsx" TargetMode="External"/><Relationship Id="rId1" Type="http://schemas.openxmlformats.org/officeDocument/2006/relationships/externalLinkPath" Target="LaPrairie%20Home%20ORIG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qar\Desktop\MEP%20METROPOLIT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SUMMARY"/>
      <sheetName val="BASE BID"/>
    </sheetNames>
    <sheetDataSet>
      <sheetData sheetId="0">
        <row r="26">
          <cell r="C26" t="str">
            <v>EA</v>
          </cell>
          <cell r="D26">
            <v>0</v>
          </cell>
        </row>
        <row r="27">
          <cell r="C27" t="str">
            <v>LF</v>
          </cell>
          <cell r="D27">
            <v>0.05</v>
          </cell>
        </row>
        <row r="28">
          <cell r="C28" t="str">
            <v>SF</v>
          </cell>
          <cell r="D28">
            <v>0.05</v>
          </cell>
        </row>
        <row r="29">
          <cell r="C29" t="str">
            <v>LS</v>
          </cell>
          <cell r="D29">
            <v>0</v>
          </cell>
        </row>
        <row r="30">
          <cell r="C30" t="str">
            <v>LBS</v>
          </cell>
          <cell r="D30">
            <v>0.05</v>
          </cell>
        </row>
        <row r="31">
          <cell r="C31" t="str">
            <v>TONS</v>
          </cell>
          <cell r="D31">
            <v>0.05</v>
          </cell>
        </row>
        <row r="32">
          <cell r="C32" t="str">
            <v>CY</v>
          </cell>
          <cell r="D32">
            <v>0.05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BASE BID"/>
      <sheetName val="ADD ALTERNAT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zoomScale="85" zoomScaleNormal="85" workbookViewId="0">
      <selection activeCell="D11" sqref="D11"/>
    </sheetView>
  </sheetViews>
  <sheetFormatPr defaultColWidth="9.140625" defaultRowHeight="15.75" x14ac:dyDescent="0.25"/>
  <cols>
    <col min="1" max="2" width="9.140625" style="1"/>
    <col min="3" max="3" width="23.28515625" style="1" customWidth="1"/>
    <col min="4" max="4" width="44.7109375" style="1" customWidth="1"/>
    <col min="5" max="5" width="12.140625" style="1" bestFit="1" customWidth="1"/>
    <col min="6" max="6" width="12.42578125" style="1" bestFit="1" customWidth="1"/>
    <col min="7" max="7" width="10.7109375" style="1" bestFit="1" customWidth="1"/>
    <col min="8" max="8" width="9.140625" style="1"/>
    <col min="9" max="9" width="11.85546875" style="1" customWidth="1"/>
    <col min="10" max="10" width="12.140625" style="1" customWidth="1"/>
    <col min="11" max="16384" width="9.140625" style="1"/>
  </cols>
  <sheetData>
    <row r="1" spans="1:11" ht="21.75" thickBot="1" x14ac:dyDescent="0.3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4" spans="1:11" ht="16.5" thickBot="1" x14ac:dyDescent="0.3"/>
    <row r="5" spans="1:11" ht="16.5" thickBot="1" x14ac:dyDescent="0.3">
      <c r="C5" s="73" t="s">
        <v>1</v>
      </c>
      <c r="D5" s="74">
        <f>'BASE BID'!H5</f>
        <v>44992</v>
      </c>
    </row>
    <row r="6" spans="1:11" ht="16.5" thickBot="1" x14ac:dyDescent="0.3">
      <c r="C6" s="76" t="s">
        <v>2</v>
      </c>
      <c r="D6" s="77" t="str">
        <f>'BASE BID'!H6</f>
        <v>LaPrairie Home</v>
      </c>
    </row>
    <row r="7" spans="1:11" ht="32.25" thickBot="1" x14ac:dyDescent="0.3">
      <c r="C7" s="75" t="s">
        <v>3</v>
      </c>
      <c r="D7" s="89" t="str">
        <f>'BASE BID'!H7</f>
        <v>1887 Jennens Road West Kelowna, BC</v>
      </c>
    </row>
    <row r="8" spans="1:11" ht="16.5" thickBot="1" x14ac:dyDescent="0.3"/>
    <row r="9" spans="1:11" ht="19.5" thickBot="1" x14ac:dyDescent="0.3">
      <c r="C9" s="112" t="str">
        <f>D6</f>
        <v>LaPrairie Home</v>
      </c>
      <c r="D9" s="113"/>
    </row>
    <row r="10" spans="1:11" ht="25.5" customHeight="1" thickBot="1" x14ac:dyDescent="0.3">
      <c r="C10" s="64" t="s">
        <v>0</v>
      </c>
      <c r="D10" s="65" t="s">
        <v>4</v>
      </c>
    </row>
    <row r="11" spans="1:11" ht="16.5" thickBot="1" x14ac:dyDescent="0.3">
      <c r="C11" s="66" t="s">
        <v>5</v>
      </c>
      <c r="D11" s="104">
        <f>'BASE BID'!D9</f>
        <v>2355698.5810717465</v>
      </c>
    </row>
    <row r="23" spans="3:4" ht="16.5" thickBot="1" x14ac:dyDescent="0.3">
      <c r="C23" s="1" t="s">
        <v>6</v>
      </c>
    </row>
    <row r="24" spans="3:4" ht="16.5" thickBot="1" x14ac:dyDescent="0.3">
      <c r="C24" s="107" t="s">
        <v>7</v>
      </c>
      <c r="D24" s="108"/>
    </row>
    <row r="25" spans="3:4" ht="16.5" thickBot="1" x14ac:dyDescent="0.3">
      <c r="C25" s="8" t="s">
        <v>8</v>
      </c>
      <c r="D25" s="7" t="s">
        <v>9</v>
      </c>
    </row>
    <row r="26" spans="3:4" x14ac:dyDescent="0.25">
      <c r="C26" s="9" t="s">
        <v>10</v>
      </c>
      <c r="D26" s="2">
        <v>0</v>
      </c>
    </row>
    <row r="27" spans="3:4" x14ac:dyDescent="0.25">
      <c r="C27" s="5" t="s">
        <v>11</v>
      </c>
      <c r="D27" s="3">
        <v>0.05</v>
      </c>
    </row>
    <row r="28" spans="3:4" x14ac:dyDescent="0.25">
      <c r="C28" s="5" t="s">
        <v>12</v>
      </c>
      <c r="D28" s="3">
        <v>0.05</v>
      </c>
    </row>
    <row r="29" spans="3:4" x14ac:dyDescent="0.25">
      <c r="C29" s="5" t="s">
        <v>13</v>
      </c>
      <c r="D29" s="3">
        <v>0</v>
      </c>
    </row>
    <row r="30" spans="3:4" x14ac:dyDescent="0.25">
      <c r="C30" s="5" t="s">
        <v>14</v>
      </c>
      <c r="D30" s="3">
        <v>0.05</v>
      </c>
    </row>
    <row r="31" spans="3:4" x14ac:dyDescent="0.25">
      <c r="C31" s="5" t="s">
        <v>15</v>
      </c>
      <c r="D31" s="3">
        <v>0.05</v>
      </c>
    </row>
    <row r="32" spans="3:4" ht="16.5" thickBot="1" x14ac:dyDescent="0.3">
      <c r="C32" s="6" t="s">
        <v>16</v>
      </c>
      <c r="D32" s="4">
        <v>0.05</v>
      </c>
    </row>
  </sheetData>
  <mergeCells count="3">
    <mergeCell ref="C24:D24"/>
    <mergeCell ref="A1:K1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9"/>
  <sheetViews>
    <sheetView tabSelected="1" zoomScale="55" zoomScaleNormal="55" zoomScaleSheetLayoutView="40" workbookViewId="0">
      <pane ySplit="1" topLeftCell="A2" activePane="bottomLeft" state="frozen"/>
      <selection pane="bottomLeft" activeCell="D17" sqref="D17"/>
    </sheetView>
  </sheetViews>
  <sheetFormatPr defaultColWidth="9.140625" defaultRowHeight="15.75" x14ac:dyDescent="0.25"/>
  <cols>
    <col min="1" max="1" width="9.140625" style="16"/>
    <col min="2" max="2" width="17.85546875" style="16" customWidth="1"/>
    <col min="3" max="3" width="12.28515625" style="16" bestFit="1" customWidth="1"/>
    <col min="4" max="4" width="100.7109375" style="10" bestFit="1" customWidth="1"/>
    <col min="5" max="5" width="12.85546875" style="31" customWidth="1"/>
    <col min="6" max="6" width="14.42578125" style="39" customWidth="1"/>
    <col min="7" max="7" width="20.42578125" style="31" customWidth="1"/>
    <col min="8" max="8" width="16.42578125" style="16" customWidth="1"/>
    <col min="9" max="9" width="13.28515625" style="10" customWidth="1"/>
    <col min="10" max="10" width="16.85546875" style="10" customWidth="1"/>
    <col min="11" max="11" width="16.5703125" style="23" customWidth="1"/>
    <col min="12" max="12" width="20.7109375" style="23" customWidth="1"/>
    <col min="13" max="13" width="14.28515625" style="23" customWidth="1"/>
    <col min="14" max="14" width="17.42578125" style="23" customWidth="1"/>
    <col min="15" max="15" width="17.140625" style="23" customWidth="1"/>
    <col min="16" max="16" width="19.42578125" style="23" bestFit="1" customWidth="1"/>
    <col min="17" max="16384" width="9.140625" style="10"/>
  </cols>
  <sheetData>
    <row r="1" spans="1:16" s="11" customFormat="1" ht="49.5" customHeight="1" thickBot="1" x14ac:dyDescent="0.3">
      <c r="A1" s="12" t="s">
        <v>22</v>
      </c>
      <c r="B1" s="13" t="s">
        <v>23</v>
      </c>
      <c r="C1" s="13" t="s">
        <v>17</v>
      </c>
      <c r="D1" s="13" t="s">
        <v>18</v>
      </c>
      <c r="E1" s="32" t="s">
        <v>24</v>
      </c>
      <c r="F1" s="38" t="s">
        <v>25</v>
      </c>
      <c r="G1" s="32" t="s">
        <v>26</v>
      </c>
      <c r="H1" s="13" t="s">
        <v>8</v>
      </c>
      <c r="I1" s="13" t="s">
        <v>27</v>
      </c>
      <c r="J1" s="13" t="s">
        <v>28</v>
      </c>
      <c r="K1" s="28" t="s">
        <v>29</v>
      </c>
      <c r="L1" s="28" t="s">
        <v>30</v>
      </c>
      <c r="M1" s="28" t="s">
        <v>31</v>
      </c>
      <c r="N1" s="28" t="s">
        <v>32</v>
      </c>
      <c r="O1" s="28" t="s">
        <v>4</v>
      </c>
      <c r="P1" s="29" t="s">
        <v>33</v>
      </c>
    </row>
    <row r="2" spans="1:16" ht="16.5" thickBot="1" x14ac:dyDescent="0.3">
      <c r="A2" s="114" t="s">
        <v>34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</row>
    <row r="4" spans="1:16" ht="16.5" thickBot="1" x14ac:dyDescent="0.3"/>
    <row r="5" spans="1:16" ht="19.5" thickBot="1" x14ac:dyDescent="0.3">
      <c r="A5" s="118" t="str">
        <f>H6</f>
        <v>LaPrairie Home</v>
      </c>
      <c r="B5" s="119"/>
      <c r="C5" s="119"/>
      <c r="D5" s="113"/>
      <c r="F5" s="40"/>
      <c r="G5" s="34" t="s">
        <v>1</v>
      </c>
      <c r="H5" s="63">
        <v>44992</v>
      </c>
      <c r="I5" s="18"/>
      <c r="J5" s="18"/>
      <c r="K5" s="24"/>
    </row>
    <row r="6" spans="1:16" x14ac:dyDescent="0.25">
      <c r="A6" s="67"/>
      <c r="B6" s="68" t="s">
        <v>19</v>
      </c>
      <c r="C6" s="69"/>
      <c r="D6" s="98">
        <f>P746</f>
        <v>1879321.8404073473</v>
      </c>
      <c r="F6" s="41"/>
      <c r="G6" s="35" t="s">
        <v>2</v>
      </c>
      <c r="H6" s="61" t="s">
        <v>135</v>
      </c>
      <c r="I6" s="17"/>
      <c r="J6" s="17"/>
      <c r="K6" s="25"/>
    </row>
    <row r="7" spans="1:16" x14ac:dyDescent="0.25">
      <c r="A7" s="70">
        <f>G747</f>
        <v>9.5000000000000001E-2</v>
      </c>
      <c r="B7" s="117" t="str">
        <f>H747</f>
        <v>Material Tax=</v>
      </c>
      <c r="C7" s="117"/>
      <c r="D7" s="99">
        <f>P747</f>
        <v>100512.37258292982</v>
      </c>
      <c r="F7" s="41"/>
      <c r="G7" s="35" t="s">
        <v>3</v>
      </c>
      <c r="H7" s="61" t="s">
        <v>136</v>
      </c>
      <c r="I7" s="17"/>
      <c r="J7" s="17"/>
      <c r="K7" s="25"/>
    </row>
    <row r="8" spans="1:16" x14ac:dyDescent="0.25">
      <c r="A8" s="70">
        <f>G748</f>
        <v>0.2</v>
      </c>
      <c r="B8" s="117" t="str">
        <f>H748</f>
        <v>Overhead and Profit=</v>
      </c>
      <c r="C8" s="117"/>
      <c r="D8" s="100">
        <f>P748</f>
        <v>375864.36808146944</v>
      </c>
      <c r="F8" s="41"/>
      <c r="G8" s="36"/>
      <c r="H8" s="44"/>
      <c r="I8" s="19"/>
      <c r="J8" s="19"/>
      <c r="K8" s="26"/>
    </row>
    <row r="9" spans="1:16" ht="16.5" thickBot="1" x14ac:dyDescent="0.3">
      <c r="A9" s="90"/>
      <c r="B9" s="120" t="str">
        <f>H749</f>
        <v>Total Bid=</v>
      </c>
      <c r="C9" s="120"/>
      <c r="D9" s="101">
        <f>P749</f>
        <v>2355698.5810717465</v>
      </c>
      <c r="F9" s="41"/>
      <c r="G9" s="36" t="s">
        <v>36</v>
      </c>
      <c r="H9" s="102"/>
      <c r="I9" s="19"/>
      <c r="J9" s="19"/>
      <c r="K9" s="26"/>
    </row>
    <row r="10" spans="1:16" x14ac:dyDescent="0.25">
      <c r="F10" s="41"/>
      <c r="G10" s="36" t="s">
        <v>37</v>
      </c>
      <c r="H10" s="102"/>
      <c r="I10" s="19"/>
      <c r="J10" s="19"/>
      <c r="K10" s="26"/>
    </row>
    <row r="11" spans="1:16" ht="16.5" thickBot="1" x14ac:dyDescent="0.3">
      <c r="F11" s="42"/>
      <c r="G11" s="37" t="s">
        <v>38</v>
      </c>
      <c r="H11" s="103">
        <v>3</v>
      </c>
      <c r="I11" s="20"/>
      <c r="J11" s="20"/>
      <c r="K11" s="27"/>
    </row>
    <row r="12" spans="1:16" ht="16.5" thickBot="1" x14ac:dyDescent="0.3"/>
    <row r="13" spans="1:16" s="11" customFormat="1" ht="49.5" customHeight="1" thickBot="1" x14ac:dyDescent="0.3">
      <c r="A13" s="14" t="s">
        <v>22</v>
      </c>
      <c r="B13" s="15" t="s">
        <v>23</v>
      </c>
      <c r="C13" s="15" t="s">
        <v>17</v>
      </c>
      <c r="D13" s="15" t="s">
        <v>18</v>
      </c>
      <c r="E13" s="33" t="s">
        <v>24</v>
      </c>
      <c r="F13" s="43" t="s">
        <v>25</v>
      </c>
      <c r="G13" s="33" t="s">
        <v>26</v>
      </c>
      <c r="H13" s="15" t="s">
        <v>8</v>
      </c>
      <c r="I13" s="15" t="s">
        <v>27</v>
      </c>
      <c r="J13" s="15" t="s">
        <v>28</v>
      </c>
      <c r="K13" s="22" t="s">
        <v>29</v>
      </c>
      <c r="L13" s="22" t="s">
        <v>39</v>
      </c>
      <c r="M13" s="22" t="s">
        <v>31</v>
      </c>
      <c r="N13" s="22" t="s">
        <v>32</v>
      </c>
      <c r="O13" s="22" t="s">
        <v>40</v>
      </c>
      <c r="P13" s="30" t="s">
        <v>33</v>
      </c>
    </row>
    <row r="14" spans="1:16" ht="16.5" thickBot="1" x14ac:dyDescent="0.3">
      <c r="A14" s="87" t="str">
        <f>IF(G14&lt;&gt;"",1+MAX($A$13:A13),"")</f>
        <v/>
      </c>
      <c r="B14" s="83"/>
      <c r="C14" s="83" t="s">
        <v>63</v>
      </c>
      <c r="D14" s="81" t="s">
        <v>64</v>
      </c>
      <c r="E14" s="85"/>
      <c r="F14" s="86"/>
      <c r="G14" s="85"/>
      <c r="H14" s="85"/>
      <c r="I14" s="81"/>
      <c r="J14" s="81"/>
      <c r="K14" s="82"/>
      <c r="L14" s="82"/>
      <c r="M14" s="82"/>
      <c r="N14" s="82"/>
      <c r="O14" s="84"/>
      <c r="P14" s="88">
        <f>SUM(O15:O165)</f>
        <v>242056.5797692113</v>
      </c>
    </row>
    <row r="15" spans="1:16" x14ac:dyDescent="0.25">
      <c r="A15" s="45" t="str">
        <f>IF(G15&lt;&gt;"",1+MAX($A$13:A14),"")</f>
        <v/>
      </c>
      <c r="P15" s="46"/>
    </row>
    <row r="16" spans="1:16" x14ac:dyDescent="0.25">
      <c r="A16" s="45" t="str">
        <f>IF(G16&lt;&gt;"",1+MAX($A$13:A15),"")</f>
        <v/>
      </c>
      <c r="D16" s="58" t="s">
        <v>105</v>
      </c>
      <c r="J16" s="71"/>
      <c r="P16" s="46"/>
    </row>
    <row r="17" spans="1:16" x14ac:dyDescent="0.25">
      <c r="A17" s="60">
        <f>IF(G17&lt;&gt;"",1+MAX($A$13:A16),"")</f>
        <v>1</v>
      </c>
      <c r="C17" s="16" t="s">
        <v>63</v>
      </c>
      <c r="D17" s="59" t="s">
        <v>420</v>
      </c>
      <c r="E17" s="31">
        <f>4*3.5*3.5*1/27</f>
        <v>1.8148148148148149</v>
      </c>
      <c r="F17" s="39">
        <f>VLOOKUP(H17,'[1]PROJECT SUMMARY'!$C$26:$D$32,2,0)</f>
        <v>0.05</v>
      </c>
      <c r="G17" s="31">
        <f>E17*(1+F17)</f>
        <v>1.9055555555555557</v>
      </c>
      <c r="H17" s="16" t="s">
        <v>16</v>
      </c>
      <c r="I17" s="62">
        <v>3</v>
      </c>
      <c r="J17" s="71">
        <f t="shared" ref="J17" si="0">I17*G17</f>
        <v>5.7166666666666668</v>
      </c>
      <c r="K17" s="23">
        <v>52</v>
      </c>
      <c r="L17" s="23">
        <f t="shared" ref="L17" si="1">K17*J17</f>
        <v>297.26666666666665</v>
      </c>
      <c r="M17" s="23">
        <v>185</v>
      </c>
      <c r="N17" s="23">
        <f t="shared" ref="N17" si="2">M17*G17</f>
        <v>352.52777777777777</v>
      </c>
      <c r="O17" s="23">
        <f t="shared" ref="O17" si="3">L17+N17</f>
        <v>649.79444444444448</v>
      </c>
      <c r="P17" s="46"/>
    </row>
    <row r="18" spans="1:16" x14ac:dyDescent="0.25">
      <c r="A18" s="60">
        <f>IF(G18&lt;&gt;"",1+MAX($A$13:A17),"")</f>
        <v>2</v>
      </c>
      <c r="C18" s="16" t="s">
        <v>63</v>
      </c>
      <c r="D18" s="59" t="s">
        <v>137</v>
      </c>
      <c r="E18" s="31">
        <f>4*3.5*2*4*1.043</f>
        <v>116.81599999999999</v>
      </c>
      <c r="F18" s="39">
        <f>VLOOKUP(H18,'[1]PROJECT SUMMARY'!$C$26:$D$32,2,0)</f>
        <v>0.05</v>
      </c>
      <c r="G18" s="31">
        <f>E18*(1+F18)</f>
        <v>122.65679999999999</v>
      </c>
      <c r="H18" s="16" t="s">
        <v>14</v>
      </c>
      <c r="I18" s="62">
        <v>0.02</v>
      </c>
      <c r="J18" s="71">
        <f>I18*G18</f>
        <v>2.4531359999999998</v>
      </c>
      <c r="K18" s="23">
        <v>52</v>
      </c>
      <c r="L18" s="23">
        <f>K18*J18</f>
        <v>127.56307199999999</v>
      </c>
      <c r="M18" s="23">
        <v>0.9</v>
      </c>
      <c r="N18" s="23">
        <f>M18*G18</f>
        <v>110.39111999999999</v>
      </c>
      <c r="O18" s="23">
        <f>L18+N18</f>
        <v>237.95419199999998</v>
      </c>
      <c r="P18" s="46"/>
    </row>
    <row r="19" spans="1:16" x14ac:dyDescent="0.25">
      <c r="A19" s="60" t="str">
        <f>IF(G19&lt;&gt;"",1+MAX($A$13:A18),"")</f>
        <v/>
      </c>
      <c r="D19" s="59"/>
      <c r="I19" s="62"/>
      <c r="J19" s="71"/>
      <c r="P19" s="46"/>
    </row>
    <row r="20" spans="1:16" x14ac:dyDescent="0.25">
      <c r="A20" s="60">
        <f>IF(G20&lt;&gt;"",1+MAX($A$13:A19),"")</f>
        <v>3</v>
      </c>
      <c r="C20" s="16" t="s">
        <v>63</v>
      </c>
      <c r="D20" s="59" t="s">
        <v>421</v>
      </c>
      <c r="E20" s="31">
        <f>2*4.5*4.5*1/27</f>
        <v>1.5</v>
      </c>
      <c r="F20" s="39">
        <f>VLOOKUP(H20,'[1]PROJECT SUMMARY'!$C$26:$D$32,2,0)</f>
        <v>0.05</v>
      </c>
      <c r="G20" s="31">
        <f t="shared" ref="G20" si="4">E20*(1+F20)</f>
        <v>1.5750000000000002</v>
      </c>
      <c r="H20" s="16" t="s">
        <v>16</v>
      </c>
      <c r="I20" s="62">
        <v>3</v>
      </c>
      <c r="J20" s="71">
        <f t="shared" ref="J20" si="5">I20*G20</f>
        <v>4.7250000000000005</v>
      </c>
      <c r="K20" s="23">
        <v>52</v>
      </c>
      <c r="L20" s="23">
        <f t="shared" ref="L20" si="6">K20*J20</f>
        <v>245.70000000000002</v>
      </c>
      <c r="M20" s="23">
        <v>185</v>
      </c>
      <c r="N20" s="23">
        <f t="shared" ref="N20" si="7">M20*G20</f>
        <v>291.37500000000006</v>
      </c>
      <c r="O20" s="23">
        <f t="shared" ref="O20" si="8">L20+N20</f>
        <v>537.07500000000005</v>
      </c>
      <c r="P20" s="46"/>
    </row>
    <row r="21" spans="1:16" x14ac:dyDescent="0.25">
      <c r="A21" s="60">
        <f>IF(G21&lt;&gt;"",1+MAX($A$13:A20),"")</f>
        <v>4</v>
      </c>
      <c r="C21" s="16" t="s">
        <v>63</v>
      </c>
      <c r="D21" s="59" t="s">
        <v>422</v>
      </c>
      <c r="E21" s="31">
        <f>5*2*2*4.5*1.043</f>
        <v>93.86999999999999</v>
      </c>
      <c r="F21" s="39">
        <f>VLOOKUP(H21,'[1]PROJECT SUMMARY'!$C$26:$D$32,2,0)</f>
        <v>0.05</v>
      </c>
      <c r="G21" s="31">
        <f>E21*(1+F21)</f>
        <v>98.563499999999991</v>
      </c>
      <c r="H21" s="16" t="s">
        <v>14</v>
      </c>
      <c r="I21" s="62">
        <v>0.02</v>
      </c>
      <c r="J21" s="71">
        <f>I21*G21</f>
        <v>1.9712699999999999</v>
      </c>
      <c r="K21" s="23">
        <v>52</v>
      </c>
      <c r="L21" s="23">
        <f>K21*J21</f>
        <v>102.50604</v>
      </c>
      <c r="M21" s="23">
        <v>0.9</v>
      </c>
      <c r="N21" s="23">
        <f>M21*G21</f>
        <v>88.707149999999999</v>
      </c>
      <c r="O21" s="23">
        <f>L21+N21</f>
        <v>191.21319</v>
      </c>
      <c r="P21" s="46"/>
    </row>
    <row r="22" spans="1:16" x14ac:dyDescent="0.25">
      <c r="A22" s="60" t="str">
        <f>IF(G22&lt;&gt;"",1+MAX($A$13:A21),"")</f>
        <v/>
      </c>
      <c r="D22" s="59"/>
      <c r="I22" s="62"/>
      <c r="J22" s="71"/>
      <c r="P22" s="46"/>
    </row>
    <row r="23" spans="1:16" x14ac:dyDescent="0.25">
      <c r="A23" s="60">
        <f>IF(G23&lt;&gt;"",1+MAX($A$13:A22),"")</f>
        <v>5</v>
      </c>
      <c r="C23" s="16" t="s">
        <v>63</v>
      </c>
      <c r="D23" s="59" t="s">
        <v>423</v>
      </c>
      <c r="E23" s="31">
        <f>3*2.5*2.5*0.83/27</f>
        <v>0.57638888888888884</v>
      </c>
      <c r="F23" s="39">
        <f>VLOOKUP(H23,'[1]PROJECT SUMMARY'!$C$26:$D$32,2,0)</f>
        <v>0.05</v>
      </c>
      <c r="G23" s="31">
        <f t="shared" ref="G23:G35" si="9">E23*(1+F23)</f>
        <v>0.60520833333333335</v>
      </c>
      <c r="H23" s="16" t="s">
        <v>16</v>
      </c>
      <c r="I23" s="62">
        <v>3</v>
      </c>
      <c r="J23" s="71">
        <f t="shared" ref="J23" si="10">I23*G23</f>
        <v>1.815625</v>
      </c>
      <c r="K23" s="23">
        <v>52</v>
      </c>
      <c r="L23" s="23">
        <f t="shared" ref="L23" si="11">K23*J23</f>
        <v>94.412500000000009</v>
      </c>
      <c r="M23" s="23">
        <v>185</v>
      </c>
      <c r="N23" s="23">
        <f t="shared" ref="N23" si="12">M23*G23</f>
        <v>111.96354166666667</v>
      </c>
      <c r="O23" s="23">
        <f t="shared" ref="O23" si="13">L23+N23</f>
        <v>206.37604166666668</v>
      </c>
      <c r="P23" s="46"/>
    </row>
    <row r="24" spans="1:16" x14ac:dyDescent="0.25">
      <c r="A24" s="60">
        <f>IF(G24&lt;&gt;"",1+MAX($A$13:A23),"")</f>
        <v>6</v>
      </c>
      <c r="C24" s="16" t="s">
        <v>63</v>
      </c>
      <c r="D24" s="59" t="s">
        <v>138</v>
      </c>
      <c r="E24" s="31">
        <f>3*3*2*2.5*1.043</f>
        <v>46.934999999999995</v>
      </c>
      <c r="F24" s="39">
        <f>VLOOKUP(H24,'[1]PROJECT SUMMARY'!$C$26:$D$32,2,0)</f>
        <v>0.05</v>
      </c>
      <c r="G24" s="31">
        <f>E24*(1+F24)</f>
        <v>49.281749999999995</v>
      </c>
      <c r="H24" s="16" t="s">
        <v>14</v>
      </c>
      <c r="I24" s="62">
        <v>0.02</v>
      </c>
      <c r="J24" s="71">
        <f>I24*G24</f>
        <v>0.98563499999999993</v>
      </c>
      <c r="K24" s="23">
        <v>52</v>
      </c>
      <c r="L24" s="23">
        <f>K24*J24</f>
        <v>51.253019999999999</v>
      </c>
      <c r="M24" s="23">
        <v>0.9</v>
      </c>
      <c r="N24" s="23">
        <f>M24*G24</f>
        <v>44.353574999999999</v>
      </c>
      <c r="O24" s="23">
        <f>L24+N24</f>
        <v>95.606594999999999</v>
      </c>
      <c r="P24" s="46"/>
    </row>
    <row r="25" spans="1:16" x14ac:dyDescent="0.25">
      <c r="A25" s="60" t="str">
        <f>IF(G25&lt;&gt;"",1+MAX($A$13:A24),"")</f>
        <v/>
      </c>
      <c r="D25" s="59"/>
      <c r="I25" s="62"/>
      <c r="J25" s="71"/>
      <c r="P25" s="46"/>
    </row>
    <row r="26" spans="1:16" x14ac:dyDescent="0.25">
      <c r="A26" s="60">
        <f>IF(G26&lt;&gt;"",1+MAX($A$13:A25),"")</f>
        <v>7</v>
      </c>
      <c r="C26" s="16" t="s">
        <v>63</v>
      </c>
      <c r="D26" s="59" t="s">
        <v>162</v>
      </c>
      <c r="E26" s="31">
        <f>22*3.5*3.5*1/27</f>
        <v>9.981481481481481</v>
      </c>
      <c r="F26" s="39">
        <f>VLOOKUP(H26,'[1]PROJECT SUMMARY'!$C$26:$D$32,2,0)</f>
        <v>0.05</v>
      </c>
      <c r="G26" s="31">
        <f t="shared" si="9"/>
        <v>10.480555555555556</v>
      </c>
      <c r="H26" s="16" t="s">
        <v>16</v>
      </c>
      <c r="I26" s="62">
        <v>3</v>
      </c>
      <c r="J26" s="71">
        <f t="shared" ref="J26" si="14">I26*G26</f>
        <v>31.44166666666667</v>
      </c>
      <c r="K26" s="23">
        <v>52</v>
      </c>
      <c r="L26" s="23">
        <f t="shared" ref="L26" si="15">K26*J26</f>
        <v>1634.9666666666669</v>
      </c>
      <c r="M26" s="23">
        <v>185</v>
      </c>
      <c r="N26" s="23">
        <f t="shared" ref="N26" si="16">M26*G26</f>
        <v>1938.9027777777778</v>
      </c>
      <c r="O26" s="23">
        <f t="shared" ref="O26" si="17">L26+N26</f>
        <v>3573.8694444444445</v>
      </c>
      <c r="P26" s="46"/>
    </row>
    <row r="27" spans="1:16" x14ac:dyDescent="0.25">
      <c r="A27" s="60">
        <f>IF(G27&lt;&gt;"",1+MAX($A$13:A26),"")</f>
        <v>8</v>
      </c>
      <c r="C27" s="16" t="s">
        <v>63</v>
      </c>
      <c r="D27" s="59" t="s">
        <v>137</v>
      </c>
      <c r="E27" s="31">
        <f>22*4*2*3.5*1.043</f>
        <v>642.48799999999994</v>
      </c>
      <c r="F27" s="39">
        <f>VLOOKUP(H27,'[1]PROJECT SUMMARY'!$C$26:$D$32,2,0)</f>
        <v>0.05</v>
      </c>
      <c r="G27" s="31">
        <f>E27*(1+F27)</f>
        <v>674.61239999999998</v>
      </c>
      <c r="H27" s="16" t="s">
        <v>14</v>
      </c>
      <c r="I27" s="62">
        <v>0.02</v>
      </c>
      <c r="J27" s="71">
        <f>I27*G27</f>
        <v>13.492248</v>
      </c>
      <c r="K27" s="23">
        <v>52</v>
      </c>
      <c r="L27" s="23">
        <f>K27*J27</f>
        <v>701.59689600000002</v>
      </c>
      <c r="M27" s="23">
        <v>0.9</v>
      </c>
      <c r="N27" s="23">
        <f>M27*G27</f>
        <v>607.15116</v>
      </c>
      <c r="O27" s="23">
        <f>L27+N27</f>
        <v>1308.7480559999999</v>
      </c>
      <c r="P27" s="46"/>
    </row>
    <row r="28" spans="1:16" x14ac:dyDescent="0.25">
      <c r="A28" s="60" t="str">
        <f>IF(G28&lt;&gt;"",1+MAX($A$13:A27),"")</f>
        <v/>
      </c>
      <c r="D28" s="59"/>
      <c r="I28" s="62"/>
      <c r="J28" s="71"/>
      <c r="P28" s="46"/>
    </row>
    <row r="29" spans="1:16" x14ac:dyDescent="0.25">
      <c r="A29" s="60">
        <f>IF(G29&lt;&gt;"",1+MAX($A$13:A28),"")</f>
        <v>9</v>
      </c>
      <c r="C29" s="16" t="s">
        <v>63</v>
      </c>
      <c r="D29" s="59" t="s">
        <v>163</v>
      </c>
      <c r="E29" s="31">
        <f>6*2.5*2.5*0.83/27</f>
        <v>1.1527777777777777</v>
      </c>
      <c r="F29" s="39">
        <f>VLOOKUP(H29,'[1]PROJECT SUMMARY'!$C$26:$D$32,2,0)</f>
        <v>0.05</v>
      </c>
      <c r="G29" s="31">
        <f t="shared" si="9"/>
        <v>1.2104166666666667</v>
      </c>
      <c r="H29" s="16" t="s">
        <v>16</v>
      </c>
      <c r="I29" s="62">
        <v>3</v>
      </c>
      <c r="J29" s="71">
        <f t="shared" ref="J29" si="18">I29*G29</f>
        <v>3.6312500000000001</v>
      </c>
      <c r="K29" s="23">
        <v>52</v>
      </c>
      <c r="L29" s="23">
        <f t="shared" ref="L29" si="19">K29*J29</f>
        <v>188.82500000000002</v>
      </c>
      <c r="M29" s="23">
        <v>185</v>
      </c>
      <c r="N29" s="23">
        <f t="shared" ref="N29" si="20">M29*G29</f>
        <v>223.92708333333334</v>
      </c>
      <c r="O29" s="23">
        <f t="shared" ref="O29" si="21">L29+N29</f>
        <v>412.75208333333336</v>
      </c>
      <c r="P29" s="46"/>
    </row>
    <row r="30" spans="1:16" x14ac:dyDescent="0.25">
      <c r="A30" s="60">
        <f>IF(G30&lt;&gt;"",1+MAX($A$13:A29),"")</f>
        <v>10</v>
      </c>
      <c r="C30" s="16" t="s">
        <v>63</v>
      </c>
      <c r="D30" s="59" t="s">
        <v>138</v>
      </c>
      <c r="E30" s="31">
        <f>6*3*2*2.5*1.043</f>
        <v>93.86999999999999</v>
      </c>
      <c r="F30" s="39">
        <f>VLOOKUP(H30,'[1]PROJECT SUMMARY'!$C$26:$D$32,2,0)</f>
        <v>0.05</v>
      </c>
      <c r="G30" s="31">
        <f>E30*(1+F30)</f>
        <v>98.563499999999991</v>
      </c>
      <c r="H30" s="16" t="s">
        <v>14</v>
      </c>
      <c r="I30" s="62">
        <v>0.02</v>
      </c>
      <c r="J30" s="71">
        <f>I30*G30</f>
        <v>1.9712699999999999</v>
      </c>
      <c r="K30" s="23">
        <v>52</v>
      </c>
      <c r="L30" s="23">
        <f>K30*J30</f>
        <v>102.50604</v>
      </c>
      <c r="M30" s="23">
        <v>0.9</v>
      </c>
      <c r="N30" s="23">
        <f>M30*G30</f>
        <v>88.707149999999999</v>
      </c>
      <c r="O30" s="23">
        <f>L30+N30</f>
        <v>191.21319</v>
      </c>
      <c r="P30" s="46"/>
    </row>
    <row r="31" spans="1:16" x14ac:dyDescent="0.25">
      <c r="A31" s="60" t="str">
        <f>IF(G31&lt;&gt;"",1+MAX($A$13:A30),"")</f>
        <v/>
      </c>
      <c r="D31" s="59"/>
      <c r="I31" s="62"/>
      <c r="J31" s="71"/>
      <c r="P31" s="46"/>
    </row>
    <row r="32" spans="1:16" x14ac:dyDescent="0.25">
      <c r="A32" s="60">
        <f>IF(G32&lt;&gt;"",1+MAX($A$13:A31),"")</f>
        <v>11</v>
      </c>
      <c r="C32" s="16" t="s">
        <v>63</v>
      </c>
      <c r="D32" s="59" t="s">
        <v>424</v>
      </c>
      <c r="E32" s="31">
        <f>4*3*3*0.83/27</f>
        <v>1.1066666666666667</v>
      </c>
      <c r="F32" s="39">
        <f>VLOOKUP(H32,'[1]PROJECT SUMMARY'!$C$26:$D$32,2,0)</f>
        <v>0.05</v>
      </c>
      <c r="G32" s="31">
        <f t="shared" si="9"/>
        <v>1.1620000000000001</v>
      </c>
      <c r="H32" s="16" t="s">
        <v>16</v>
      </c>
      <c r="I32" s="62">
        <v>3</v>
      </c>
      <c r="J32" s="71">
        <f t="shared" ref="J32" si="22">I32*G32</f>
        <v>3.4860000000000007</v>
      </c>
      <c r="K32" s="23">
        <v>52</v>
      </c>
      <c r="L32" s="23">
        <f t="shared" ref="L32" si="23">K32*J32</f>
        <v>181.27200000000005</v>
      </c>
      <c r="M32" s="23">
        <v>185</v>
      </c>
      <c r="N32" s="23">
        <f t="shared" ref="N32" si="24">M32*G32</f>
        <v>214.97000000000003</v>
      </c>
      <c r="O32" s="23">
        <f t="shared" ref="O32" si="25">L32+N32</f>
        <v>396.24200000000008</v>
      </c>
      <c r="P32" s="46"/>
    </row>
    <row r="33" spans="1:16" x14ac:dyDescent="0.25">
      <c r="A33" s="60">
        <f>IF(G33&lt;&gt;"",1+MAX($A$13:A32),"")</f>
        <v>12</v>
      </c>
      <c r="C33" s="16" t="s">
        <v>63</v>
      </c>
      <c r="D33" s="59" t="s">
        <v>137</v>
      </c>
      <c r="E33" s="31">
        <f>4*4*2*3*1.043</f>
        <v>100.12799999999999</v>
      </c>
      <c r="F33" s="39">
        <f>VLOOKUP(H33,'[1]PROJECT SUMMARY'!$C$26:$D$32,2,0)</f>
        <v>0.05</v>
      </c>
      <c r="G33" s="31">
        <f>E33*(1+F33)</f>
        <v>105.13439999999999</v>
      </c>
      <c r="H33" s="16" t="s">
        <v>14</v>
      </c>
      <c r="I33" s="62">
        <v>0.02</v>
      </c>
      <c r="J33" s="71">
        <f>I33*G33</f>
        <v>2.1026879999999997</v>
      </c>
      <c r="K33" s="23">
        <v>52</v>
      </c>
      <c r="L33" s="23">
        <f>K33*J33</f>
        <v>109.33977599999999</v>
      </c>
      <c r="M33" s="23">
        <v>0.9</v>
      </c>
      <c r="N33" s="23">
        <f>M33*G33</f>
        <v>94.620959999999982</v>
      </c>
      <c r="O33" s="23">
        <f>L33+N33</f>
        <v>203.96073599999997</v>
      </c>
      <c r="P33" s="46"/>
    </row>
    <row r="34" spans="1:16" x14ac:dyDescent="0.25">
      <c r="A34" s="60" t="str">
        <f>IF(G34&lt;&gt;"",1+MAX($A$13:A33),"")</f>
        <v/>
      </c>
      <c r="D34" s="59"/>
      <c r="I34" s="62"/>
      <c r="J34" s="71"/>
      <c r="P34" s="46"/>
    </row>
    <row r="35" spans="1:16" x14ac:dyDescent="0.25">
      <c r="A35" s="60">
        <f>IF(G35&lt;&gt;"",1+MAX($A$13:A34),"")</f>
        <v>13</v>
      </c>
      <c r="C35" s="16" t="s">
        <v>63</v>
      </c>
      <c r="D35" s="59" t="s">
        <v>425</v>
      </c>
      <c r="E35" s="31">
        <f>4*5.5*5.5*1.33/27</f>
        <v>5.960370370370371</v>
      </c>
      <c r="F35" s="39">
        <f>VLOOKUP(H35,'[1]PROJECT SUMMARY'!$C$26:$D$32,2,0)</f>
        <v>0.05</v>
      </c>
      <c r="G35" s="31">
        <f t="shared" si="9"/>
        <v>6.2583888888888897</v>
      </c>
      <c r="H35" s="16" t="s">
        <v>16</v>
      </c>
      <c r="I35" s="62">
        <v>3</v>
      </c>
      <c r="J35" s="71">
        <f t="shared" ref="J35" si="26">I35*G35</f>
        <v>18.775166666666671</v>
      </c>
      <c r="K35" s="23">
        <v>52</v>
      </c>
      <c r="L35" s="23">
        <f t="shared" ref="L35" si="27">K35*J35</f>
        <v>976.30866666666691</v>
      </c>
      <c r="M35" s="23">
        <v>185</v>
      </c>
      <c r="N35" s="23">
        <f t="shared" ref="N35" si="28">M35*G35</f>
        <v>1157.8019444444446</v>
      </c>
      <c r="O35" s="23">
        <f t="shared" ref="O35" si="29">L35+N35</f>
        <v>2134.1106111111117</v>
      </c>
      <c r="P35" s="46"/>
    </row>
    <row r="36" spans="1:16" x14ac:dyDescent="0.25">
      <c r="A36" s="60">
        <f>IF(G36&lt;&gt;"",1+MAX($A$13:A35),"")</f>
        <v>14</v>
      </c>
      <c r="C36" s="16" t="s">
        <v>63</v>
      </c>
      <c r="D36" s="59" t="s">
        <v>426</v>
      </c>
      <c r="E36" s="31">
        <f>4*6*2*5.5*1.043</f>
        <v>275.35199999999998</v>
      </c>
      <c r="F36" s="39">
        <f>VLOOKUP(H36,'[1]PROJECT SUMMARY'!$C$26:$D$32,2,0)</f>
        <v>0.05</v>
      </c>
      <c r="G36" s="31">
        <f>E36*(1+F36)</f>
        <v>289.11959999999999</v>
      </c>
      <c r="H36" s="16" t="s">
        <v>14</v>
      </c>
      <c r="I36" s="62">
        <v>0.02</v>
      </c>
      <c r="J36" s="71">
        <f>I36*G36</f>
        <v>5.7823919999999998</v>
      </c>
      <c r="K36" s="23">
        <v>52</v>
      </c>
      <c r="L36" s="23">
        <f>K36*J36</f>
        <v>300.68438399999997</v>
      </c>
      <c r="M36" s="23">
        <v>0.9</v>
      </c>
      <c r="N36" s="23">
        <f>M36*G36</f>
        <v>260.20764000000003</v>
      </c>
      <c r="O36" s="23">
        <f>L36+N36</f>
        <v>560.89202399999999</v>
      </c>
      <c r="P36" s="46"/>
    </row>
    <row r="37" spans="1:16" x14ac:dyDescent="0.25">
      <c r="A37" s="60" t="str">
        <f>IF(G37&lt;&gt;"",1+MAX($A$13:A36),"")</f>
        <v/>
      </c>
      <c r="D37" s="59"/>
      <c r="I37" s="62"/>
      <c r="J37" s="71"/>
      <c r="P37" s="46"/>
    </row>
    <row r="38" spans="1:16" x14ac:dyDescent="0.25">
      <c r="A38" s="60" t="str">
        <f>IF(G38&lt;&gt;"",1+MAX($A$13:A37),"")</f>
        <v/>
      </c>
      <c r="D38" s="58" t="s">
        <v>107</v>
      </c>
      <c r="J38" s="71"/>
      <c r="P38" s="46"/>
    </row>
    <row r="39" spans="1:16" x14ac:dyDescent="0.25">
      <c r="A39" s="60">
        <f>IF(G39&lt;&gt;"",1+MAX($A$13:A38),"")</f>
        <v>15</v>
      </c>
      <c r="C39" s="16" t="s">
        <v>63</v>
      </c>
      <c r="D39" s="59" t="s">
        <v>141</v>
      </c>
      <c r="E39" s="31">
        <f>383.55*2*0.67/27</f>
        <v>19.035444444444444</v>
      </c>
      <c r="F39" s="39">
        <f>VLOOKUP(H39,'PROJECT SUMMARY'!$C$26:$D$32,2,0)</f>
        <v>0.05</v>
      </c>
      <c r="G39" s="31">
        <f t="shared" ref="G39:G156" si="30">E39*(1+F39)</f>
        <v>19.987216666666669</v>
      </c>
      <c r="H39" s="16" t="s">
        <v>16</v>
      </c>
      <c r="I39" s="62">
        <v>3</v>
      </c>
      <c r="J39" s="71">
        <f>I39*G39</f>
        <v>59.961650000000006</v>
      </c>
      <c r="K39" s="23">
        <v>52</v>
      </c>
      <c r="L39" s="23">
        <f>K39*J39</f>
        <v>3118.0058000000004</v>
      </c>
      <c r="M39" s="23">
        <v>185</v>
      </c>
      <c r="N39" s="23">
        <f>M39*G39</f>
        <v>3697.6350833333336</v>
      </c>
      <c r="O39" s="23">
        <f>L39+N39</f>
        <v>6815.6408833333335</v>
      </c>
      <c r="P39" s="46"/>
    </row>
    <row r="40" spans="1:16" x14ac:dyDescent="0.25">
      <c r="A40" s="60">
        <f>IF(G40&lt;&gt;"",1+MAX($A$13:A39),"")</f>
        <v>16</v>
      </c>
      <c r="C40" s="16" t="s">
        <v>63</v>
      </c>
      <c r="D40" s="59" t="s">
        <v>139</v>
      </c>
      <c r="E40" s="31">
        <f>3*383.55*1.043</f>
        <v>1200.1279500000001</v>
      </c>
      <c r="F40" s="39">
        <f>VLOOKUP(H40,'PROJECT SUMMARY'!$C$26:$D$32,2,0)</f>
        <v>0.05</v>
      </c>
      <c r="G40" s="31">
        <f>E40*(1+F40)</f>
        <v>1260.1343475000001</v>
      </c>
      <c r="H40" s="16" t="s">
        <v>14</v>
      </c>
      <c r="I40" s="62">
        <v>0.02</v>
      </c>
      <c r="J40" s="71">
        <f>I40*G40</f>
        <v>25.202686950000004</v>
      </c>
      <c r="K40" s="23">
        <v>52</v>
      </c>
      <c r="L40" s="23">
        <f>K40*J40</f>
        <v>1310.5397214000002</v>
      </c>
      <c r="M40" s="23">
        <v>0.9</v>
      </c>
      <c r="N40" s="23">
        <f>M40*G40</f>
        <v>1134.1209127500001</v>
      </c>
      <c r="O40" s="23">
        <f>L40+N40</f>
        <v>2444.6606341500001</v>
      </c>
      <c r="P40" s="46"/>
    </row>
    <row r="41" spans="1:16" x14ac:dyDescent="0.25">
      <c r="A41" s="60" t="str">
        <f>IF(G41&lt;&gt;"",1+MAX($A$13:A40),"")</f>
        <v/>
      </c>
      <c r="D41" s="59"/>
      <c r="I41" s="62"/>
      <c r="J41" s="71"/>
      <c r="P41" s="46"/>
    </row>
    <row r="42" spans="1:16" x14ac:dyDescent="0.25">
      <c r="A42" s="60">
        <f>IF(G42&lt;&gt;"",1+MAX($A$13:A41),"")</f>
        <v>17</v>
      </c>
      <c r="C42" s="16" t="s">
        <v>63</v>
      </c>
      <c r="D42" s="59" t="s">
        <v>427</v>
      </c>
      <c r="E42" s="31">
        <f>146.21*2*0.83/27</f>
        <v>8.9892074074074078</v>
      </c>
      <c r="F42" s="39">
        <f>VLOOKUP(H42,'[1]PROJECT SUMMARY'!$C$26:$D$32,2,0)</f>
        <v>0.05</v>
      </c>
      <c r="G42" s="31">
        <f t="shared" ref="G42:G45" si="31">E42*(1+F42)</f>
        <v>9.4386677777777788</v>
      </c>
      <c r="H42" s="16" t="s">
        <v>16</v>
      </c>
      <c r="I42" s="62">
        <v>3</v>
      </c>
      <c r="J42" s="71">
        <f>I42*G42</f>
        <v>28.316003333333335</v>
      </c>
      <c r="K42" s="23">
        <v>52</v>
      </c>
      <c r="L42" s="23">
        <f>K42*J42</f>
        <v>1472.4321733333334</v>
      </c>
      <c r="M42" s="23">
        <v>185</v>
      </c>
      <c r="N42" s="23">
        <f>M42*G42</f>
        <v>1746.153538888889</v>
      </c>
      <c r="O42" s="23">
        <f>L42+N42</f>
        <v>3218.5857122222224</v>
      </c>
      <c r="P42" s="46"/>
    </row>
    <row r="43" spans="1:16" x14ac:dyDescent="0.25">
      <c r="A43" s="60">
        <f>IF(G43&lt;&gt;"",1+MAX($A$13:A42),"")</f>
        <v>18</v>
      </c>
      <c r="C43" s="16" t="s">
        <v>63</v>
      </c>
      <c r="D43" s="59" t="s">
        <v>139</v>
      </c>
      <c r="E43" s="31">
        <f>3*146.21*1.043</f>
        <v>457.49108999999999</v>
      </c>
      <c r="F43" s="39">
        <f>VLOOKUP(H43,'[1]PROJECT SUMMARY'!$C$26:$D$32,2,0)</f>
        <v>0.05</v>
      </c>
      <c r="G43" s="31">
        <f>E43*(1+F43)</f>
        <v>480.36564450000003</v>
      </c>
      <c r="H43" s="16" t="s">
        <v>14</v>
      </c>
      <c r="I43" s="62">
        <v>0.02</v>
      </c>
      <c r="J43" s="71">
        <f>I43*G43</f>
        <v>9.6073128900000011</v>
      </c>
      <c r="K43" s="23">
        <v>52</v>
      </c>
      <c r="L43" s="23">
        <f>K43*J43</f>
        <v>499.58027028000004</v>
      </c>
      <c r="M43" s="23">
        <v>0.9</v>
      </c>
      <c r="N43" s="23">
        <f>M43*G43</f>
        <v>432.32908005000002</v>
      </c>
      <c r="O43" s="23">
        <f>L43+N43</f>
        <v>931.90935033000005</v>
      </c>
      <c r="P43" s="46"/>
    </row>
    <row r="44" spans="1:16" hidden="1" x14ac:dyDescent="0.25">
      <c r="A44" s="60" t="str">
        <f>IF(G44&lt;&gt;"",1+MAX($A$13:A43),"")</f>
        <v/>
      </c>
      <c r="D44" s="59"/>
      <c r="I44" s="62"/>
      <c r="J44" s="71"/>
      <c r="P44" s="46"/>
    </row>
    <row r="45" spans="1:16" hidden="1" x14ac:dyDescent="0.25">
      <c r="A45" s="60">
        <f>IF(G45&lt;&gt;"",1+MAX($A$13:A44),"")</f>
        <v>19</v>
      </c>
      <c r="C45" s="16" t="s">
        <v>63</v>
      </c>
      <c r="D45" s="59" t="s">
        <v>141</v>
      </c>
      <c r="E45" s="31">
        <f>383.55*2*0.67/27</f>
        <v>19.035444444444444</v>
      </c>
      <c r="F45" s="39">
        <f>VLOOKUP(H45,'[1]PROJECT SUMMARY'!$C$26:$D$32,2,0)</f>
        <v>0.05</v>
      </c>
      <c r="G45" s="31">
        <f t="shared" si="31"/>
        <v>19.987216666666669</v>
      </c>
      <c r="H45" s="16" t="s">
        <v>16</v>
      </c>
      <c r="I45" s="62"/>
      <c r="J45" s="71">
        <f>I45*G45</f>
        <v>0</v>
      </c>
      <c r="L45" s="23">
        <f>K45*J45</f>
        <v>0</v>
      </c>
      <c r="N45" s="23">
        <f>M45*G45</f>
        <v>0</v>
      </c>
      <c r="O45" s="23">
        <f>L45+N45</f>
        <v>0</v>
      </c>
      <c r="P45" s="46"/>
    </row>
    <row r="46" spans="1:16" hidden="1" x14ac:dyDescent="0.25">
      <c r="A46" s="60">
        <f>IF(G46&lt;&gt;"",1+MAX($A$13:A45),"")</f>
        <v>20</v>
      </c>
      <c r="C46" s="16" t="s">
        <v>63</v>
      </c>
      <c r="D46" s="59" t="s">
        <v>139</v>
      </c>
      <c r="E46" s="31">
        <f>3*383.55*1.043</f>
        <v>1200.1279500000001</v>
      </c>
      <c r="F46" s="39">
        <f>VLOOKUP(H46,'[1]PROJECT SUMMARY'!$C$26:$D$32,2,0)</f>
        <v>0.05</v>
      </c>
      <c r="G46" s="31">
        <f>E46*(1+F46)</f>
        <v>1260.1343475000001</v>
      </c>
      <c r="H46" s="16" t="s">
        <v>14</v>
      </c>
      <c r="I46" s="62"/>
      <c r="J46" s="71">
        <f>I46*G46</f>
        <v>0</v>
      </c>
      <c r="L46" s="23">
        <f>K46*J46</f>
        <v>0</v>
      </c>
      <c r="N46" s="23">
        <f>M46*G46</f>
        <v>0</v>
      </c>
      <c r="O46" s="23">
        <f>L46+N46</f>
        <v>0</v>
      </c>
      <c r="P46" s="46"/>
    </row>
    <row r="47" spans="1:16" x14ac:dyDescent="0.25">
      <c r="A47" s="60" t="str">
        <f>IF(G47&lt;&gt;"",1+MAX($A$13:A46),"")</f>
        <v/>
      </c>
      <c r="D47" s="59"/>
      <c r="I47" s="62"/>
      <c r="J47" s="71"/>
      <c r="P47" s="46"/>
    </row>
    <row r="48" spans="1:16" x14ac:dyDescent="0.25">
      <c r="A48" s="60">
        <f>IF(G48&lt;&gt;"",1+MAX($A$13:A47),"")</f>
        <v>21</v>
      </c>
      <c r="C48" s="16" t="s">
        <v>63</v>
      </c>
      <c r="D48" s="59" t="s">
        <v>428</v>
      </c>
      <c r="E48" s="31">
        <f>29.02*2*0.83/27</f>
        <v>1.7841925925925923</v>
      </c>
      <c r="F48" s="39">
        <f>VLOOKUP(H48,'[1]PROJECT SUMMARY'!$C$26:$D$32,2,0)</f>
        <v>0.05</v>
      </c>
      <c r="G48" s="31">
        <f t="shared" ref="G48" si="32">E48*(1+F48)</f>
        <v>1.873402222222222</v>
      </c>
      <c r="H48" s="16" t="s">
        <v>16</v>
      </c>
      <c r="I48" s="62">
        <v>3</v>
      </c>
      <c r="J48" s="71">
        <f>I48*G48</f>
        <v>5.6202066666666664</v>
      </c>
      <c r="K48" s="23">
        <v>52</v>
      </c>
      <c r="L48" s="23">
        <f>K48*J48</f>
        <v>292.25074666666666</v>
      </c>
      <c r="M48" s="23">
        <v>185</v>
      </c>
      <c r="N48" s="23">
        <f>M48*G48</f>
        <v>346.57941111111109</v>
      </c>
      <c r="O48" s="23">
        <f>L48+N48</f>
        <v>638.83015777777769</v>
      </c>
      <c r="P48" s="46"/>
    </row>
    <row r="49" spans="1:16" x14ac:dyDescent="0.25">
      <c r="A49" s="60">
        <f>IF(G49&lt;&gt;"",1+MAX($A$13:A48),"")</f>
        <v>22</v>
      </c>
      <c r="C49" s="16" t="s">
        <v>63</v>
      </c>
      <c r="D49" s="59" t="s">
        <v>139</v>
      </c>
      <c r="E49" s="31">
        <f>3*29.02*1.043</f>
        <v>90.803579999999997</v>
      </c>
      <c r="F49" s="39">
        <f>VLOOKUP(H49,'[1]PROJECT SUMMARY'!$C$26:$D$32,2,0)</f>
        <v>0.05</v>
      </c>
      <c r="G49" s="31">
        <f>E49*(1+F49)</f>
        <v>95.343759000000006</v>
      </c>
      <c r="H49" s="16" t="s">
        <v>14</v>
      </c>
      <c r="I49" s="62">
        <v>0.02</v>
      </c>
      <c r="J49" s="71">
        <f>I49*G49</f>
        <v>1.9068751800000001</v>
      </c>
      <c r="K49" s="23">
        <v>52</v>
      </c>
      <c r="L49" s="23">
        <f>K49*J49</f>
        <v>99.157509360000006</v>
      </c>
      <c r="M49" s="23">
        <v>0.9</v>
      </c>
      <c r="N49" s="23">
        <f>M49*G49</f>
        <v>85.809383100000005</v>
      </c>
      <c r="O49" s="23">
        <f>L49+N49</f>
        <v>184.96689246</v>
      </c>
      <c r="P49" s="46"/>
    </row>
    <row r="50" spans="1:16" x14ac:dyDescent="0.25">
      <c r="A50" s="60">
        <f>IF(G50&lt;&gt;"",1+MAX($A$13:A49),"")</f>
        <v>23</v>
      </c>
      <c r="C50" s="16" t="s">
        <v>63</v>
      </c>
      <c r="D50" s="59" t="s">
        <v>429</v>
      </c>
      <c r="E50" s="31">
        <f>29.02/1*2*1.043</f>
        <v>60.535719999999998</v>
      </c>
      <c r="F50" s="39">
        <f>VLOOKUP(H50,'[1]PROJECT SUMMARY'!$C$26:$D$32,2,0)</f>
        <v>0.05</v>
      </c>
      <c r="G50" s="31">
        <f>E50*(1+F50)</f>
        <v>63.562505999999999</v>
      </c>
      <c r="H50" s="16" t="s">
        <v>14</v>
      </c>
      <c r="I50" s="62">
        <v>0.02</v>
      </c>
      <c r="J50" s="71">
        <f>I50*G50</f>
        <v>1.2712501199999999</v>
      </c>
      <c r="K50" s="23">
        <v>52</v>
      </c>
      <c r="L50" s="23">
        <f>K50*J50</f>
        <v>66.105006239999994</v>
      </c>
      <c r="M50" s="23">
        <v>0.9</v>
      </c>
      <c r="N50" s="23">
        <f>M50*G50</f>
        <v>57.206255400000003</v>
      </c>
      <c r="O50" s="23">
        <f>L50+N50</f>
        <v>123.31126164</v>
      </c>
      <c r="P50" s="46"/>
    </row>
    <row r="51" spans="1:16" x14ac:dyDescent="0.25">
      <c r="A51" s="60" t="str">
        <f>IF(G51&lt;&gt;"",1+MAX($A$13:A50),"")</f>
        <v/>
      </c>
      <c r="P51" s="46"/>
    </row>
    <row r="52" spans="1:16" x14ac:dyDescent="0.25">
      <c r="A52" s="60" t="str">
        <f>IF(G52&lt;&gt;"",1+MAX($A$13:A51),"")</f>
        <v/>
      </c>
      <c r="D52" s="58" t="s">
        <v>108</v>
      </c>
      <c r="J52" s="71"/>
      <c r="P52" s="46"/>
    </row>
    <row r="53" spans="1:16" x14ac:dyDescent="0.25">
      <c r="A53" s="60">
        <f>IF(G53&lt;&gt;"",1+MAX($A$13:A52),"")</f>
        <v>24</v>
      </c>
      <c r="C53" s="16" t="s">
        <v>63</v>
      </c>
      <c r="D53" s="59" t="s">
        <v>164</v>
      </c>
      <c r="E53" s="31">
        <f>46.93*1.67*0.67/27</f>
        <v>1.9448139629629628</v>
      </c>
      <c r="F53" s="39">
        <f>VLOOKUP(H53,'PROJECT SUMMARY'!$C$26:$D$32,2,0)</f>
        <v>0.05</v>
      </c>
      <c r="G53" s="31">
        <f t="shared" ref="G53:G65" si="33">E53*(1+F53)</f>
        <v>2.042054661111111</v>
      </c>
      <c r="H53" s="16" t="s">
        <v>16</v>
      </c>
      <c r="I53" s="62">
        <v>3</v>
      </c>
      <c r="J53" s="71">
        <f t="shared" ref="J53:J65" si="34">I53*G53</f>
        <v>6.126163983333333</v>
      </c>
      <c r="K53" s="23">
        <v>52</v>
      </c>
      <c r="L53" s="23">
        <f t="shared" ref="L53:L65" si="35">K53*J53</f>
        <v>318.56052713333332</v>
      </c>
      <c r="M53" s="23">
        <v>185</v>
      </c>
      <c r="N53" s="23">
        <f t="shared" ref="N53:N65" si="36">M53*G53</f>
        <v>377.78011230555552</v>
      </c>
      <c r="O53" s="23">
        <f t="shared" ref="O53:O65" si="37">L53+N53</f>
        <v>696.34063943888884</v>
      </c>
      <c r="P53" s="46"/>
    </row>
    <row r="54" spans="1:16" x14ac:dyDescent="0.25">
      <c r="A54" s="60">
        <f>IF(G54&lt;&gt;"",1+MAX($A$13:A53),"")</f>
        <v>25</v>
      </c>
      <c r="C54" s="16" t="s">
        <v>63</v>
      </c>
      <c r="D54" s="59" t="s">
        <v>143</v>
      </c>
      <c r="E54" s="31">
        <f>2*47*1.043</f>
        <v>98.041999999999987</v>
      </c>
      <c r="F54" s="39">
        <f>VLOOKUP(H54,'PROJECT SUMMARY'!$C$26:$D$32,2,0)</f>
        <v>0.05</v>
      </c>
      <c r="G54" s="31">
        <f>E54*(1+F54)</f>
        <v>102.94409999999999</v>
      </c>
      <c r="H54" s="16" t="s">
        <v>14</v>
      </c>
      <c r="I54" s="62">
        <v>0.02</v>
      </c>
      <c r="J54" s="71">
        <f>I54*G54</f>
        <v>2.0588819999999997</v>
      </c>
      <c r="K54" s="23">
        <v>52</v>
      </c>
      <c r="L54" s="23">
        <f>K54*J54</f>
        <v>107.06186399999999</v>
      </c>
      <c r="M54" s="23">
        <v>0.9</v>
      </c>
      <c r="N54" s="23">
        <f>M54*G54</f>
        <v>92.649689999999993</v>
      </c>
      <c r="O54" s="23">
        <f>L54+N54</f>
        <v>199.71155399999998</v>
      </c>
      <c r="P54" s="46"/>
    </row>
    <row r="55" spans="1:16" x14ac:dyDescent="0.25">
      <c r="A55" s="60">
        <f>IF(G55&lt;&gt;"",1+MAX($A$13:A54),"")</f>
        <v>26</v>
      </c>
      <c r="C55" s="16" t="s">
        <v>63</v>
      </c>
      <c r="D55" s="59" t="s">
        <v>144</v>
      </c>
      <c r="E55" s="31">
        <f>(47/1.5*1.83*1.043)+(2*47*1.043)</f>
        <v>157.84761999999998</v>
      </c>
      <c r="F55" s="39">
        <f>VLOOKUP(H55,'PROJECT SUMMARY'!$C$26:$D$32,2,0)</f>
        <v>0.05</v>
      </c>
      <c r="G55" s="31">
        <f>E55*(1+F55)</f>
        <v>165.74000099999998</v>
      </c>
      <c r="H55" s="16" t="s">
        <v>14</v>
      </c>
      <c r="I55" s="62">
        <v>0.02</v>
      </c>
      <c r="J55" s="71">
        <f>I55*G55</f>
        <v>3.3148000199999998</v>
      </c>
      <c r="K55" s="23">
        <v>52</v>
      </c>
      <c r="L55" s="23">
        <f>K55*J55</f>
        <v>172.36960103999999</v>
      </c>
      <c r="M55" s="23">
        <v>0.9</v>
      </c>
      <c r="N55" s="23">
        <f>M55*G55</f>
        <v>149.16600089999997</v>
      </c>
      <c r="O55" s="23">
        <f>L55+N55</f>
        <v>321.53560193999999</v>
      </c>
      <c r="P55" s="46"/>
    </row>
    <row r="56" spans="1:16" x14ac:dyDescent="0.25">
      <c r="A56" s="60" t="str">
        <f>IF(G56&lt;&gt;"",1+MAX($A$13:A55),"")</f>
        <v/>
      </c>
      <c r="D56" s="59"/>
      <c r="I56" s="62"/>
      <c r="J56" s="71"/>
      <c r="P56" s="46"/>
    </row>
    <row r="57" spans="1:16" x14ac:dyDescent="0.25">
      <c r="A57" s="60">
        <f>IF(G57&lt;&gt;"",1+MAX($A$13:A56),"")</f>
        <v>27</v>
      </c>
      <c r="C57" s="16" t="s">
        <v>63</v>
      </c>
      <c r="D57" s="59" t="s">
        <v>165</v>
      </c>
      <c r="E57" s="31">
        <f>110.06*11.33*0.67/27</f>
        <v>30.943572814814818</v>
      </c>
      <c r="F57" s="39">
        <f>VLOOKUP(H57,'PROJECT SUMMARY'!$C$26:$D$32,2,0)</f>
        <v>0.05</v>
      </c>
      <c r="G57" s="31">
        <f t="shared" si="33"/>
        <v>32.490751455555561</v>
      </c>
      <c r="H57" s="16" t="s">
        <v>16</v>
      </c>
      <c r="I57" s="62">
        <v>3</v>
      </c>
      <c r="J57" s="71">
        <f t="shared" si="34"/>
        <v>97.472254366666675</v>
      </c>
      <c r="K57" s="23">
        <v>52</v>
      </c>
      <c r="L57" s="23">
        <f t="shared" si="35"/>
        <v>5068.5572270666671</v>
      </c>
      <c r="M57" s="23">
        <v>185</v>
      </c>
      <c r="N57" s="23">
        <f t="shared" si="36"/>
        <v>6010.7890192777786</v>
      </c>
      <c r="O57" s="23">
        <f t="shared" si="37"/>
        <v>11079.346246344445</v>
      </c>
      <c r="P57" s="46"/>
    </row>
    <row r="58" spans="1:16" x14ac:dyDescent="0.25">
      <c r="A58" s="60">
        <f>IF(G58&lt;&gt;"",1+MAX($A$13:A57),"")</f>
        <v>28</v>
      </c>
      <c r="C58" s="16" t="s">
        <v>63</v>
      </c>
      <c r="D58" s="59" t="s">
        <v>143</v>
      </c>
      <c r="E58" s="31">
        <f>2*110*1.043</f>
        <v>229.45999999999998</v>
      </c>
      <c r="F58" s="39">
        <f>VLOOKUP(H58,'PROJECT SUMMARY'!$C$26:$D$32,2,0)</f>
        <v>0.05</v>
      </c>
      <c r="G58" s="31">
        <f>E58*(1+F58)</f>
        <v>240.93299999999999</v>
      </c>
      <c r="H58" s="16" t="s">
        <v>14</v>
      </c>
      <c r="I58" s="62">
        <v>0.02</v>
      </c>
      <c r="J58" s="71">
        <f>I58*G58</f>
        <v>4.8186600000000004</v>
      </c>
      <c r="K58" s="23">
        <v>52</v>
      </c>
      <c r="L58" s="23">
        <f>K58*J58</f>
        <v>250.57032000000001</v>
      </c>
      <c r="M58" s="23">
        <v>0.9</v>
      </c>
      <c r="N58" s="23">
        <f>M58*G58</f>
        <v>216.83969999999999</v>
      </c>
      <c r="O58" s="23">
        <f>L58+N58</f>
        <v>467.41002000000003</v>
      </c>
      <c r="P58" s="46"/>
    </row>
    <row r="59" spans="1:16" x14ac:dyDescent="0.25">
      <c r="A59" s="60">
        <f>IF(G59&lt;&gt;"",1+MAX($A$13:A58),"")</f>
        <v>29</v>
      </c>
      <c r="C59" s="16" t="s">
        <v>63</v>
      </c>
      <c r="D59" s="59" t="s">
        <v>144</v>
      </c>
      <c r="E59" s="31">
        <f>110.06*11.33/1.5*2*1.043</f>
        <v>1734.1332418666666</v>
      </c>
      <c r="F59" s="39">
        <f>VLOOKUP(H59,'PROJECT SUMMARY'!$C$26:$D$32,2,0)</f>
        <v>0.05</v>
      </c>
      <c r="G59" s="31">
        <f>E59*(1+F59)</f>
        <v>1820.8399039599999</v>
      </c>
      <c r="H59" s="16" t="s">
        <v>14</v>
      </c>
      <c r="I59" s="62">
        <v>0.02</v>
      </c>
      <c r="J59" s="71">
        <f>I59*G59</f>
        <v>36.416798079199999</v>
      </c>
      <c r="K59" s="23">
        <v>52</v>
      </c>
      <c r="L59" s="23">
        <f>K59*J59</f>
        <v>1893.6735001183999</v>
      </c>
      <c r="M59" s="23">
        <v>0.9</v>
      </c>
      <c r="N59" s="23">
        <f>M59*G59</f>
        <v>1638.7559135639999</v>
      </c>
      <c r="O59" s="23">
        <f>L59+N59</f>
        <v>3532.4294136824001</v>
      </c>
      <c r="P59" s="46"/>
    </row>
    <row r="60" spans="1:16" x14ac:dyDescent="0.25">
      <c r="A60" s="60" t="str">
        <f>IF(G60&lt;&gt;"",1+MAX($A$13:A59),"")</f>
        <v/>
      </c>
      <c r="D60" s="59"/>
      <c r="I60" s="62"/>
      <c r="J60" s="71"/>
      <c r="P60" s="46"/>
    </row>
    <row r="61" spans="1:16" x14ac:dyDescent="0.25">
      <c r="A61" s="60">
        <f>IF(G61&lt;&gt;"",1+MAX($A$13:A60),"")</f>
        <v>30</v>
      </c>
      <c r="C61" s="16" t="s">
        <v>63</v>
      </c>
      <c r="D61" s="59" t="s">
        <v>166</v>
      </c>
      <c r="E61" s="31">
        <f>200.82*0.67*11.5/27</f>
        <v>57.308077777777775</v>
      </c>
      <c r="F61" s="39">
        <f>VLOOKUP(H61,'PROJECT SUMMARY'!$C$26:$D$32,2,0)</f>
        <v>0.05</v>
      </c>
      <c r="G61" s="31">
        <f t="shared" si="33"/>
        <v>60.173481666666667</v>
      </c>
      <c r="H61" s="16" t="s">
        <v>16</v>
      </c>
      <c r="I61" s="62">
        <v>3</v>
      </c>
      <c r="J61" s="71">
        <f t="shared" si="34"/>
        <v>180.520445</v>
      </c>
      <c r="K61" s="23">
        <v>52</v>
      </c>
      <c r="L61" s="23">
        <f t="shared" si="35"/>
        <v>9387.0631400000002</v>
      </c>
      <c r="M61" s="23">
        <v>185</v>
      </c>
      <c r="N61" s="23">
        <f t="shared" si="36"/>
        <v>11132.094108333333</v>
      </c>
      <c r="O61" s="23">
        <f t="shared" si="37"/>
        <v>20519.157248333333</v>
      </c>
      <c r="P61" s="46"/>
    </row>
    <row r="62" spans="1:16" x14ac:dyDescent="0.25">
      <c r="A62" s="60">
        <f>IF(G62&lt;&gt;"",1+MAX($A$13:A61),"")</f>
        <v>31</v>
      </c>
      <c r="C62" s="16" t="s">
        <v>63</v>
      </c>
      <c r="D62" s="59" t="s">
        <v>143</v>
      </c>
      <c r="E62" s="31">
        <f>2*200.82*1.043</f>
        <v>418.91051999999996</v>
      </c>
      <c r="F62" s="39">
        <f>VLOOKUP(H62,'PROJECT SUMMARY'!$C$26:$D$32,2,0)</f>
        <v>0.05</v>
      </c>
      <c r="G62" s="31">
        <f>E62*(1+F62)</f>
        <v>439.85604599999999</v>
      </c>
      <c r="H62" s="16" t="s">
        <v>14</v>
      </c>
      <c r="I62" s="62">
        <v>0.02</v>
      </c>
      <c r="J62" s="71">
        <f>I62*G62</f>
        <v>8.7971209199999993</v>
      </c>
      <c r="K62" s="23">
        <v>52</v>
      </c>
      <c r="L62" s="23">
        <f>K62*J62</f>
        <v>457.45028783999999</v>
      </c>
      <c r="M62" s="23">
        <v>0.9</v>
      </c>
      <c r="N62" s="23">
        <f>M62*G62</f>
        <v>395.8704414</v>
      </c>
      <c r="O62" s="23">
        <f>L62+N62</f>
        <v>853.32072923999999</v>
      </c>
      <c r="P62" s="46"/>
    </row>
    <row r="63" spans="1:16" x14ac:dyDescent="0.25">
      <c r="A63" s="60">
        <f>IF(G63&lt;&gt;"",1+MAX($A$13:A62),"")</f>
        <v>32</v>
      </c>
      <c r="C63" s="16" t="s">
        <v>63</v>
      </c>
      <c r="D63" s="59" t="s">
        <v>144</v>
      </c>
      <c r="E63" s="31">
        <f>200.82*11.5/1.5*2*1.043</f>
        <v>3211.6473199999996</v>
      </c>
      <c r="F63" s="39">
        <f>VLOOKUP(H63,'PROJECT SUMMARY'!$C$26:$D$32,2,0)</f>
        <v>0.05</v>
      </c>
      <c r="G63" s="31">
        <f>E63*(1+F63)</f>
        <v>3372.2296859999997</v>
      </c>
      <c r="H63" s="16" t="s">
        <v>14</v>
      </c>
      <c r="I63" s="62">
        <v>0.02</v>
      </c>
      <c r="J63" s="71">
        <f>I63*G63</f>
        <v>67.44459372</v>
      </c>
      <c r="K63" s="23">
        <v>52</v>
      </c>
      <c r="L63" s="23">
        <f>K63*J63</f>
        <v>3507.1188734400002</v>
      </c>
      <c r="M63" s="23">
        <v>0.9</v>
      </c>
      <c r="N63" s="23">
        <f>M63*G63</f>
        <v>3035.0067173999996</v>
      </c>
      <c r="O63" s="23">
        <f>L63+N63</f>
        <v>6542.1255908399999</v>
      </c>
      <c r="P63" s="46"/>
    </row>
    <row r="64" spans="1:16" x14ac:dyDescent="0.25">
      <c r="A64" s="60" t="str">
        <f>IF(G64&lt;&gt;"",1+MAX($A$13:A63),"")</f>
        <v/>
      </c>
      <c r="D64" s="59"/>
      <c r="I64" s="62"/>
      <c r="J64" s="71"/>
      <c r="P64" s="46"/>
    </row>
    <row r="65" spans="1:16" x14ac:dyDescent="0.25">
      <c r="A65" s="60">
        <f>IF(G65&lt;&gt;"",1+MAX($A$13:A64),"")</f>
        <v>33</v>
      </c>
      <c r="C65" s="16" t="s">
        <v>63</v>
      </c>
      <c r="D65" s="59" t="s">
        <v>167</v>
      </c>
      <c r="E65" s="31">
        <f>217.77*0.67*0.5/27</f>
        <v>2.7019611111111113</v>
      </c>
      <c r="F65" s="39">
        <f>VLOOKUP(H65,'PROJECT SUMMARY'!$C$26:$D$32,2,0)</f>
        <v>0.05</v>
      </c>
      <c r="G65" s="31">
        <f t="shared" si="33"/>
        <v>2.8370591666666671</v>
      </c>
      <c r="H65" s="16" t="s">
        <v>16</v>
      </c>
      <c r="I65" s="62">
        <v>3</v>
      </c>
      <c r="J65" s="71">
        <f t="shared" si="34"/>
        <v>8.5111775000000023</v>
      </c>
      <c r="K65" s="23">
        <v>52</v>
      </c>
      <c r="L65" s="23">
        <f t="shared" si="35"/>
        <v>442.58123000000012</v>
      </c>
      <c r="M65" s="23">
        <v>185</v>
      </c>
      <c r="N65" s="23">
        <f t="shared" si="36"/>
        <v>524.85594583333341</v>
      </c>
      <c r="O65" s="23">
        <f t="shared" si="37"/>
        <v>967.43717583333353</v>
      </c>
      <c r="P65" s="46"/>
    </row>
    <row r="66" spans="1:16" x14ac:dyDescent="0.25">
      <c r="A66" s="60">
        <f>IF(G66&lt;&gt;"",1+MAX($A$13:A65),"")</f>
        <v>34</v>
      </c>
      <c r="C66" s="16" t="s">
        <v>63</v>
      </c>
      <c r="D66" s="59" t="s">
        <v>139</v>
      </c>
      <c r="E66" s="31">
        <f>217.77*3*1.043</f>
        <v>681.40233000000001</v>
      </c>
      <c r="F66" s="39">
        <f>VLOOKUP(H66,'PROJECT SUMMARY'!$C$26:$D$32,2,0)</f>
        <v>0.05</v>
      </c>
      <c r="G66" s="31">
        <f>E66*(1+F66)</f>
        <v>715.47244650000005</v>
      </c>
      <c r="H66" s="16" t="s">
        <v>14</v>
      </c>
      <c r="I66" s="62">
        <v>0.02</v>
      </c>
      <c r="J66" s="71">
        <f>I66*G66</f>
        <v>14.309448930000002</v>
      </c>
      <c r="K66" s="23">
        <v>52</v>
      </c>
      <c r="L66" s="23">
        <f>K66*J66</f>
        <v>744.09134436000011</v>
      </c>
      <c r="M66" s="23">
        <v>0.9</v>
      </c>
      <c r="N66" s="23">
        <f>M66*G66</f>
        <v>643.92520185000001</v>
      </c>
      <c r="O66" s="23">
        <f>L66+N66</f>
        <v>1388.0165462100001</v>
      </c>
      <c r="P66" s="46"/>
    </row>
    <row r="67" spans="1:16" x14ac:dyDescent="0.25">
      <c r="A67" s="60" t="str">
        <f>IF(G67&lt;&gt;"",1+MAX($A$13:A66),"")</f>
        <v/>
      </c>
      <c r="D67" s="59"/>
      <c r="I67" s="62"/>
      <c r="J67" s="71"/>
      <c r="P67" s="46"/>
    </row>
    <row r="68" spans="1:16" x14ac:dyDescent="0.25">
      <c r="A68" s="60">
        <f>IF(G68&lt;&gt;"",1+MAX($A$13:A67),"")</f>
        <v>35</v>
      </c>
      <c r="C68" s="16" t="s">
        <v>63</v>
      </c>
      <c r="D68" s="59" t="s">
        <v>430</v>
      </c>
      <c r="E68" s="71">
        <f>15.37*1*0.83/27</f>
        <v>0.47248518518518517</v>
      </c>
      <c r="F68" s="39">
        <f>VLOOKUP(H68,'[1]PROJECT SUMMARY'!$C$26:$D$32,2,0)</f>
        <v>0.05</v>
      </c>
      <c r="G68" s="31">
        <f t="shared" ref="G68" si="38">E68*(1+F68)</f>
        <v>0.49610944444444444</v>
      </c>
      <c r="H68" s="16" t="s">
        <v>16</v>
      </c>
      <c r="I68" s="62">
        <v>3</v>
      </c>
      <c r="J68" s="71">
        <f t="shared" ref="J68:J70" si="39">I68*G68</f>
        <v>1.4883283333333333</v>
      </c>
      <c r="K68" s="23">
        <v>52</v>
      </c>
      <c r="L68" s="23">
        <f t="shared" ref="L68:L70" si="40">K68*J68</f>
        <v>77.393073333333334</v>
      </c>
      <c r="M68" s="23">
        <v>185</v>
      </c>
      <c r="N68" s="23">
        <f t="shared" ref="N68:N70" si="41">M68*G68</f>
        <v>91.780247222222215</v>
      </c>
      <c r="O68" s="23">
        <f t="shared" ref="O68:O70" si="42">L68+N68</f>
        <v>169.17332055555556</v>
      </c>
      <c r="P68" s="46"/>
    </row>
    <row r="69" spans="1:16" x14ac:dyDescent="0.25">
      <c r="A69" s="60">
        <f>IF(G69&lt;&gt;"",1+MAX($A$13:A68),"")</f>
        <v>36</v>
      </c>
      <c r="C69" s="16" t="s">
        <v>63</v>
      </c>
      <c r="D69" s="59" t="s">
        <v>431</v>
      </c>
      <c r="E69" s="31">
        <f>15.37*2*1.043</f>
        <v>32.061819999999997</v>
      </c>
      <c r="F69" s="39">
        <f>VLOOKUP(H69,'[1]PROJECT SUMMARY'!$C$26:$D$32,2,0)</f>
        <v>0.05</v>
      </c>
      <c r="G69" s="31">
        <f>E69*(1+F69)</f>
        <v>33.664910999999996</v>
      </c>
      <c r="H69" s="16" t="s">
        <v>14</v>
      </c>
      <c r="I69" s="62">
        <v>0.02</v>
      </c>
      <c r="J69" s="71">
        <f t="shared" si="39"/>
        <v>0.67329821999999995</v>
      </c>
      <c r="K69" s="23">
        <v>52</v>
      </c>
      <c r="L69" s="23">
        <f t="shared" si="40"/>
        <v>35.011507439999995</v>
      </c>
      <c r="M69" s="23">
        <v>0.9</v>
      </c>
      <c r="N69" s="23">
        <f t="shared" si="41"/>
        <v>30.298419899999999</v>
      </c>
      <c r="O69" s="23">
        <f t="shared" si="42"/>
        <v>65.309927340000002</v>
      </c>
      <c r="P69" s="46"/>
    </row>
    <row r="70" spans="1:16" x14ac:dyDescent="0.25">
      <c r="A70" s="60">
        <f>IF(G70&lt;&gt;"",1+MAX($A$13:A69),"")</f>
        <v>37</v>
      </c>
      <c r="C70" s="16" t="s">
        <v>63</v>
      </c>
      <c r="D70" s="59" t="s">
        <v>142</v>
      </c>
      <c r="E70" s="31">
        <f>15.37/1*2.83*0.376</f>
        <v>16.354909599999999</v>
      </c>
      <c r="F70" s="39">
        <f>VLOOKUP(H70,'[1]PROJECT SUMMARY'!$C$26:$D$32,2,0)</f>
        <v>0.05</v>
      </c>
      <c r="G70" s="31">
        <f>E70*(1+F70)</f>
        <v>17.172655079999998</v>
      </c>
      <c r="H70" s="16" t="s">
        <v>14</v>
      </c>
      <c r="I70" s="62">
        <v>0.02</v>
      </c>
      <c r="J70" s="71">
        <f t="shared" si="39"/>
        <v>0.34345310159999998</v>
      </c>
      <c r="K70" s="23">
        <v>52</v>
      </c>
      <c r="L70" s="23">
        <f t="shared" si="40"/>
        <v>17.859561283199998</v>
      </c>
      <c r="M70" s="23">
        <v>0.9</v>
      </c>
      <c r="N70" s="23">
        <f t="shared" si="41"/>
        <v>15.455389572</v>
      </c>
      <c r="O70" s="23">
        <f t="shared" si="42"/>
        <v>33.314950855199996</v>
      </c>
      <c r="P70" s="46"/>
    </row>
    <row r="71" spans="1:16" x14ac:dyDescent="0.25">
      <c r="A71" s="60" t="str">
        <f>IF(G71&lt;&gt;"",1+MAX($A$13:A70),"")</f>
        <v/>
      </c>
      <c r="D71" s="59"/>
      <c r="I71" s="62"/>
      <c r="J71" s="71"/>
      <c r="P71" s="46"/>
    </row>
    <row r="72" spans="1:16" hidden="1" x14ac:dyDescent="0.25">
      <c r="A72" s="60">
        <f>IF(G72&lt;&gt;"",1+MAX($A$13:A71),"")</f>
        <v>38</v>
      </c>
      <c r="C72" s="16" t="s">
        <v>63</v>
      </c>
      <c r="D72" s="59" t="s">
        <v>164</v>
      </c>
      <c r="E72" s="31">
        <f>46.93*1.67*0.67/27</f>
        <v>1.9448139629629628</v>
      </c>
      <c r="F72" s="39">
        <f>VLOOKUP(H72,'[1]PROJECT SUMMARY'!$C$26:$D$32,2,0)</f>
        <v>0.05</v>
      </c>
      <c r="G72" s="31">
        <f t="shared" ref="G72:G90" si="43">E72*(1+F72)</f>
        <v>2.042054661111111</v>
      </c>
      <c r="H72" s="16" t="s">
        <v>16</v>
      </c>
      <c r="I72" s="62"/>
      <c r="J72" s="71">
        <f t="shared" ref="J72:J87" si="44">I72*G72</f>
        <v>0</v>
      </c>
      <c r="L72" s="23">
        <f t="shared" ref="L72:L87" si="45">K72*J72</f>
        <v>0</v>
      </c>
      <c r="N72" s="23">
        <f t="shared" ref="N72:N87" si="46">M72*G72</f>
        <v>0</v>
      </c>
      <c r="O72" s="23">
        <f t="shared" ref="O72:O87" si="47">L72+N72</f>
        <v>0</v>
      </c>
      <c r="P72" s="46"/>
    </row>
    <row r="73" spans="1:16" hidden="1" x14ac:dyDescent="0.25">
      <c r="A73" s="60">
        <f>IF(G73&lt;&gt;"",1+MAX($A$13:A72),"")</f>
        <v>39</v>
      </c>
      <c r="C73" s="16" t="s">
        <v>63</v>
      </c>
      <c r="D73" s="106" t="s">
        <v>143</v>
      </c>
      <c r="E73" s="31">
        <f>2*47*1.043</f>
        <v>98.041999999999987</v>
      </c>
      <c r="F73" s="39">
        <f>VLOOKUP(H73,'[1]PROJECT SUMMARY'!$C$26:$D$32,2,0)</f>
        <v>0.05</v>
      </c>
      <c r="G73" s="31">
        <f>E73*(1+F73)</f>
        <v>102.94409999999999</v>
      </c>
      <c r="H73" s="16" t="s">
        <v>14</v>
      </c>
      <c r="I73" s="62"/>
      <c r="J73" s="71">
        <f>I73*G73</f>
        <v>0</v>
      </c>
      <c r="L73" s="23">
        <f>K73*J73</f>
        <v>0</v>
      </c>
      <c r="N73" s="23">
        <f>M73*G73</f>
        <v>0</v>
      </c>
      <c r="O73" s="23">
        <f>L73+N73</f>
        <v>0</v>
      </c>
      <c r="P73" s="46"/>
    </row>
    <row r="74" spans="1:16" hidden="1" x14ac:dyDescent="0.25">
      <c r="A74" s="60">
        <f>IF(G74&lt;&gt;"",1+MAX($A$13:A73),"")</f>
        <v>40</v>
      </c>
      <c r="C74" s="16" t="s">
        <v>63</v>
      </c>
      <c r="D74" s="59" t="s">
        <v>144</v>
      </c>
      <c r="E74" s="31">
        <f>(47/1.5*1.83*1.043)+(2*47*1.043)</f>
        <v>157.84761999999998</v>
      </c>
      <c r="F74" s="39">
        <f>VLOOKUP(H74,'[1]PROJECT SUMMARY'!$C$26:$D$32,2,0)</f>
        <v>0.05</v>
      </c>
      <c r="G74" s="31">
        <f>E74*(1+F74)</f>
        <v>165.74000099999998</v>
      </c>
      <c r="H74" s="16" t="s">
        <v>14</v>
      </c>
      <c r="I74" s="62"/>
      <c r="J74" s="71">
        <f>I74*G74</f>
        <v>0</v>
      </c>
      <c r="L74" s="23">
        <f>K74*J74</f>
        <v>0</v>
      </c>
      <c r="N74" s="23">
        <f>M74*G74</f>
        <v>0</v>
      </c>
      <c r="O74" s="23">
        <f>L74+N74</f>
        <v>0</v>
      </c>
      <c r="P74" s="46"/>
    </row>
    <row r="75" spans="1:16" hidden="1" x14ac:dyDescent="0.25">
      <c r="A75" s="60" t="str">
        <f>IF(G75&lt;&gt;"",1+MAX($A$13:A74),"")</f>
        <v/>
      </c>
      <c r="D75" s="59"/>
      <c r="I75" s="62"/>
      <c r="J75" s="71"/>
      <c r="P75" s="46"/>
    </row>
    <row r="76" spans="1:16" hidden="1" x14ac:dyDescent="0.25">
      <c r="A76" s="60">
        <f>IF(G76&lt;&gt;"",1+MAX($A$13:A75),"")</f>
        <v>41</v>
      </c>
      <c r="C76" s="16" t="s">
        <v>63</v>
      </c>
      <c r="D76" s="106" t="s">
        <v>165</v>
      </c>
      <c r="E76" s="31">
        <f>110.06*11.33*0.67/27</f>
        <v>30.943572814814818</v>
      </c>
      <c r="F76" s="39">
        <f>VLOOKUP(H76,'[1]PROJECT SUMMARY'!$C$26:$D$32,2,0)</f>
        <v>0.05</v>
      </c>
      <c r="G76" s="31">
        <f t="shared" si="43"/>
        <v>32.490751455555561</v>
      </c>
      <c r="H76" s="16" t="s">
        <v>16</v>
      </c>
      <c r="I76" s="62"/>
      <c r="J76" s="71">
        <f t="shared" si="44"/>
        <v>0</v>
      </c>
      <c r="L76" s="23">
        <f t="shared" si="45"/>
        <v>0</v>
      </c>
      <c r="N76" s="23">
        <f t="shared" si="46"/>
        <v>0</v>
      </c>
      <c r="O76" s="23">
        <f t="shared" si="47"/>
        <v>0</v>
      </c>
      <c r="P76" s="46"/>
    </row>
    <row r="77" spans="1:16" hidden="1" x14ac:dyDescent="0.25">
      <c r="A77" s="60">
        <f>IF(G77&lt;&gt;"",1+MAX($A$13:A76),"")</f>
        <v>42</v>
      </c>
      <c r="C77" s="16" t="s">
        <v>63</v>
      </c>
      <c r="D77" s="59" t="s">
        <v>143</v>
      </c>
      <c r="E77" s="31">
        <f>2*110*1.043</f>
        <v>229.45999999999998</v>
      </c>
      <c r="F77" s="39">
        <f>VLOOKUP(H77,'[1]PROJECT SUMMARY'!$C$26:$D$32,2,0)</f>
        <v>0.05</v>
      </c>
      <c r="G77" s="31">
        <f>E77*(1+F77)</f>
        <v>240.93299999999999</v>
      </c>
      <c r="H77" s="16" t="s">
        <v>14</v>
      </c>
      <c r="I77" s="62"/>
      <c r="J77" s="71">
        <f>I77*G77</f>
        <v>0</v>
      </c>
      <c r="L77" s="23">
        <f>K77*J77</f>
        <v>0</v>
      </c>
      <c r="N77" s="23">
        <f>M77*G77</f>
        <v>0</v>
      </c>
      <c r="O77" s="23">
        <f>L77+N77</f>
        <v>0</v>
      </c>
      <c r="P77" s="46"/>
    </row>
    <row r="78" spans="1:16" hidden="1" x14ac:dyDescent="0.25">
      <c r="A78" s="60">
        <f>IF(G78&lt;&gt;"",1+MAX($A$13:A77),"")</f>
        <v>43</v>
      </c>
      <c r="C78" s="16" t="s">
        <v>63</v>
      </c>
      <c r="D78" s="59" t="s">
        <v>144</v>
      </c>
      <c r="E78" s="31">
        <f>110.06*11.33/1.5*2*1.043</f>
        <v>1734.1332418666666</v>
      </c>
      <c r="F78" s="39">
        <f>VLOOKUP(H78,'[1]PROJECT SUMMARY'!$C$26:$D$32,2,0)</f>
        <v>0.05</v>
      </c>
      <c r="G78" s="31">
        <f>E78*(1+F78)</f>
        <v>1820.8399039599999</v>
      </c>
      <c r="H78" s="16" t="s">
        <v>14</v>
      </c>
      <c r="I78" s="62"/>
      <c r="J78" s="71">
        <f>I78*G78</f>
        <v>0</v>
      </c>
      <c r="L78" s="23">
        <f>K78*J78</f>
        <v>0</v>
      </c>
      <c r="N78" s="23">
        <f>M78*G78</f>
        <v>0</v>
      </c>
      <c r="O78" s="23">
        <f>L78+N78</f>
        <v>0</v>
      </c>
      <c r="P78" s="46"/>
    </row>
    <row r="79" spans="1:16" x14ac:dyDescent="0.25">
      <c r="A79" s="60" t="str">
        <f>IF(G79&lt;&gt;"",1+MAX($A$13:A78),"")</f>
        <v/>
      </c>
      <c r="D79" s="59"/>
      <c r="I79" s="62"/>
      <c r="J79" s="71"/>
      <c r="P79" s="46"/>
    </row>
    <row r="80" spans="1:16" x14ac:dyDescent="0.25">
      <c r="A80" s="60">
        <f>IF(G80&lt;&gt;"",1+MAX($A$13:A79),"")</f>
        <v>44</v>
      </c>
      <c r="C80" s="16" t="s">
        <v>63</v>
      </c>
      <c r="D80" s="59" t="s">
        <v>432</v>
      </c>
      <c r="E80" s="71">
        <f>2*1*0.67*1.83/27</f>
        <v>9.0822222222222235E-2</v>
      </c>
      <c r="F80" s="39">
        <f>VLOOKUP(H80,'[1]PROJECT SUMMARY'!$C$26:$D$32,2,0)</f>
        <v>0.05</v>
      </c>
      <c r="G80" s="31">
        <f t="shared" si="43"/>
        <v>9.5363333333333355E-2</v>
      </c>
      <c r="H80" s="16" t="s">
        <v>16</v>
      </c>
      <c r="I80" s="62">
        <v>3</v>
      </c>
      <c r="J80" s="71">
        <f t="shared" ref="J80" si="48">I80*G80</f>
        <v>0.28609000000000007</v>
      </c>
      <c r="K80" s="23">
        <v>52</v>
      </c>
      <c r="L80" s="23">
        <f t="shared" ref="L80" si="49">K80*J80</f>
        <v>14.876680000000004</v>
      </c>
      <c r="M80" s="23">
        <v>185</v>
      </c>
      <c r="N80" s="23">
        <f t="shared" ref="N80" si="50">M80*G80</f>
        <v>17.64221666666667</v>
      </c>
      <c r="O80" s="23">
        <f t="shared" ref="O80" si="51">L80+N80</f>
        <v>32.518896666666677</v>
      </c>
      <c r="P80" s="46"/>
    </row>
    <row r="81" spans="1:16" x14ac:dyDescent="0.25">
      <c r="A81" s="60">
        <f>IF(G81&lt;&gt;"",1+MAX($A$13:A80),"")</f>
        <v>45</v>
      </c>
      <c r="C81" s="16" t="s">
        <v>63</v>
      </c>
      <c r="D81" s="59" t="s">
        <v>139</v>
      </c>
      <c r="E81" s="31">
        <f>2*1.83/1.5*2*1.043</f>
        <v>5.0898399999999997</v>
      </c>
      <c r="F81" s="39">
        <f>VLOOKUP(H81,'[1]PROJECT SUMMARY'!$C$26:$D$32,2,0)</f>
        <v>0.05</v>
      </c>
      <c r="G81" s="31">
        <f>E81*(1+F81)</f>
        <v>5.3443319999999996</v>
      </c>
      <c r="H81" s="16" t="s">
        <v>14</v>
      </c>
      <c r="I81" s="62">
        <v>0.02</v>
      </c>
      <c r="J81" s="71">
        <f>I81*G81</f>
        <v>0.10688663999999999</v>
      </c>
      <c r="K81" s="23">
        <v>52</v>
      </c>
      <c r="L81" s="23">
        <f>K81*J81</f>
        <v>5.5581052799999995</v>
      </c>
      <c r="M81" s="23">
        <v>0.9</v>
      </c>
      <c r="N81" s="23">
        <f>M81*G81</f>
        <v>4.8098988</v>
      </c>
      <c r="O81" s="23">
        <f>L81+N81</f>
        <v>10.368004079999999</v>
      </c>
      <c r="P81" s="46"/>
    </row>
    <row r="82" spans="1:16" x14ac:dyDescent="0.25">
      <c r="A82" s="60" t="str">
        <f>IF(G82&lt;&gt;"",1+MAX($A$13:A81),"")</f>
        <v/>
      </c>
      <c r="D82" s="59"/>
      <c r="I82" s="62"/>
      <c r="J82" s="71"/>
      <c r="P82" s="46"/>
    </row>
    <row r="83" spans="1:16" hidden="1" x14ac:dyDescent="0.25">
      <c r="A83" s="60">
        <f>IF(G83&lt;&gt;"",1+MAX($A$13:A82),"")</f>
        <v>46</v>
      </c>
      <c r="C83" s="16" t="s">
        <v>63</v>
      </c>
      <c r="D83" s="106" t="s">
        <v>166</v>
      </c>
      <c r="E83" s="31">
        <f>200.82*0.67*11.5/27</f>
        <v>57.308077777777775</v>
      </c>
      <c r="F83" s="39">
        <f>VLOOKUP(H83,'[1]PROJECT SUMMARY'!$C$26:$D$32,2,0)</f>
        <v>0.05</v>
      </c>
      <c r="G83" s="31">
        <f t="shared" si="43"/>
        <v>60.173481666666667</v>
      </c>
      <c r="H83" s="16" t="s">
        <v>16</v>
      </c>
      <c r="I83" s="62"/>
      <c r="J83" s="71">
        <f t="shared" si="44"/>
        <v>0</v>
      </c>
      <c r="L83" s="23">
        <f t="shared" si="45"/>
        <v>0</v>
      </c>
      <c r="N83" s="23">
        <f t="shared" si="46"/>
        <v>0</v>
      </c>
      <c r="O83" s="23">
        <f t="shared" si="47"/>
        <v>0</v>
      </c>
      <c r="P83" s="46"/>
    </row>
    <row r="84" spans="1:16" hidden="1" x14ac:dyDescent="0.25">
      <c r="A84" s="60">
        <f>IF(G84&lt;&gt;"",1+MAX($A$13:A83),"")</f>
        <v>47</v>
      </c>
      <c r="C84" s="16" t="s">
        <v>63</v>
      </c>
      <c r="D84" s="59" t="s">
        <v>143</v>
      </c>
      <c r="E84" s="31">
        <f>2*200.82*1.043</f>
        <v>418.91051999999996</v>
      </c>
      <c r="F84" s="39">
        <f>VLOOKUP(H84,'[1]PROJECT SUMMARY'!$C$26:$D$32,2,0)</f>
        <v>0.05</v>
      </c>
      <c r="G84" s="31">
        <f>E84*(1+F84)</f>
        <v>439.85604599999999</v>
      </c>
      <c r="H84" s="16" t="s">
        <v>14</v>
      </c>
      <c r="I84" s="62"/>
      <c r="J84" s="71">
        <f>I84*G84</f>
        <v>0</v>
      </c>
      <c r="L84" s="23">
        <f>K84*J84</f>
        <v>0</v>
      </c>
      <c r="N84" s="23">
        <f>M84*G84</f>
        <v>0</v>
      </c>
      <c r="O84" s="23">
        <f>L84+N84</f>
        <v>0</v>
      </c>
      <c r="P84" s="46"/>
    </row>
    <row r="85" spans="1:16" hidden="1" x14ac:dyDescent="0.25">
      <c r="A85" s="60">
        <f>IF(G85&lt;&gt;"",1+MAX($A$13:A84),"")</f>
        <v>48</v>
      </c>
      <c r="C85" s="16" t="s">
        <v>63</v>
      </c>
      <c r="D85" s="59" t="s">
        <v>144</v>
      </c>
      <c r="E85" s="31">
        <f>200.82*11.5/1.5*2*1.043</f>
        <v>3211.6473199999996</v>
      </c>
      <c r="F85" s="39">
        <f>VLOOKUP(H85,'[1]PROJECT SUMMARY'!$C$26:$D$32,2,0)</f>
        <v>0.05</v>
      </c>
      <c r="G85" s="31">
        <f>E85*(1+F85)</f>
        <v>3372.2296859999997</v>
      </c>
      <c r="H85" s="16" t="s">
        <v>14</v>
      </c>
      <c r="I85" s="62"/>
      <c r="J85" s="71">
        <f>I85*G85</f>
        <v>0</v>
      </c>
      <c r="L85" s="23">
        <f>K85*J85</f>
        <v>0</v>
      </c>
      <c r="N85" s="23">
        <f>M85*G85</f>
        <v>0</v>
      </c>
      <c r="O85" s="23">
        <f>L85+N85</f>
        <v>0</v>
      </c>
      <c r="P85" s="46"/>
    </row>
    <row r="86" spans="1:16" hidden="1" x14ac:dyDescent="0.25">
      <c r="A86" s="60" t="str">
        <f>IF(G86&lt;&gt;"",1+MAX($A$13:A85),"")</f>
        <v/>
      </c>
      <c r="D86" s="59"/>
      <c r="I86" s="62"/>
      <c r="J86" s="71"/>
      <c r="P86" s="46"/>
    </row>
    <row r="87" spans="1:16" hidden="1" x14ac:dyDescent="0.25">
      <c r="A87" s="60">
        <f>IF(G87&lt;&gt;"",1+MAX($A$13:A86),"")</f>
        <v>49</v>
      </c>
      <c r="C87" s="16" t="s">
        <v>63</v>
      </c>
      <c r="D87" s="106" t="s">
        <v>167</v>
      </c>
      <c r="E87" s="31">
        <f>217.77*0.67*0.5/27</f>
        <v>2.7019611111111113</v>
      </c>
      <c r="F87" s="39">
        <f>VLOOKUP(H87,'[1]PROJECT SUMMARY'!$C$26:$D$32,2,0)</f>
        <v>0.05</v>
      </c>
      <c r="G87" s="31">
        <f t="shared" si="43"/>
        <v>2.8370591666666671</v>
      </c>
      <c r="H87" s="16" t="s">
        <v>16</v>
      </c>
      <c r="I87" s="62"/>
      <c r="J87" s="71">
        <f t="shared" si="44"/>
        <v>0</v>
      </c>
      <c r="L87" s="23">
        <f t="shared" si="45"/>
        <v>0</v>
      </c>
      <c r="N87" s="23">
        <f t="shared" si="46"/>
        <v>0</v>
      </c>
      <c r="O87" s="23">
        <f t="shared" si="47"/>
        <v>0</v>
      </c>
      <c r="P87" s="46"/>
    </row>
    <row r="88" spans="1:16" hidden="1" x14ac:dyDescent="0.25">
      <c r="A88" s="60">
        <f>IF(G88&lt;&gt;"",1+MAX($A$13:A87),"")</f>
        <v>50</v>
      </c>
      <c r="C88" s="16" t="s">
        <v>63</v>
      </c>
      <c r="D88" s="59" t="s">
        <v>139</v>
      </c>
      <c r="E88" s="31">
        <f>217.77*3*1.043</f>
        <v>681.40233000000001</v>
      </c>
      <c r="F88" s="39">
        <f>VLOOKUP(H88,'[1]PROJECT SUMMARY'!$C$26:$D$32,2,0)</f>
        <v>0.05</v>
      </c>
      <c r="G88" s="31">
        <f>E88*(1+F88)</f>
        <v>715.47244650000005</v>
      </c>
      <c r="H88" s="16" t="s">
        <v>14</v>
      </c>
      <c r="I88" s="62"/>
      <c r="J88" s="71">
        <f>I88*G88</f>
        <v>0</v>
      </c>
      <c r="L88" s="23">
        <f>K88*J88</f>
        <v>0</v>
      </c>
      <c r="N88" s="23">
        <f>M88*G88</f>
        <v>0</v>
      </c>
      <c r="O88" s="23">
        <f>L88+N88</f>
        <v>0</v>
      </c>
      <c r="P88" s="46"/>
    </row>
    <row r="89" spans="1:16" x14ac:dyDescent="0.25">
      <c r="A89" s="60" t="str">
        <f>IF(G89&lt;&gt;"",1+MAX($A$13:A88),"")</f>
        <v/>
      </c>
      <c r="D89" s="59"/>
      <c r="I89" s="62"/>
      <c r="J89" s="71"/>
      <c r="P89" s="46"/>
    </row>
    <row r="90" spans="1:16" x14ac:dyDescent="0.25">
      <c r="A90" s="60">
        <f>IF(G90&lt;&gt;"",1+MAX($A$13:A89),"")</f>
        <v>51</v>
      </c>
      <c r="C90" s="16" t="s">
        <v>63</v>
      </c>
      <c r="D90" s="59" t="s">
        <v>433</v>
      </c>
      <c r="E90" s="31">
        <f>34.78*1.167*1.167/27</f>
        <v>1.7543147933333338</v>
      </c>
      <c r="F90" s="39">
        <f>VLOOKUP(H90,'[1]PROJECT SUMMARY'!$C$26:$D$32,2,0)</f>
        <v>0.05</v>
      </c>
      <c r="G90" s="31">
        <f t="shared" si="43"/>
        <v>1.8420305330000006</v>
      </c>
      <c r="H90" s="16" t="s">
        <v>16</v>
      </c>
      <c r="I90" s="62">
        <v>3</v>
      </c>
      <c r="J90" s="71">
        <f t="shared" ref="J90" si="52">I90*G90</f>
        <v>5.5260915990000017</v>
      </c>
      <c r="K90" s="23">
        <v>52</v>
      </c>
      <c r="L90" s="23">
        <f t="shared" ref="L90" si="53">K90*J90</f>
        <v>287.35676314800008</v>
      </c>
      <c r="M90" s="23">
        <v>185</v>
      </c>
      <c r="N90" s="23">
        <f t="shared" ref="N90" si="54">M90*G90</f>
        <v>340.77564860500013</v>
      </c>
      <c r="O90" s="23">
        <f t="shared" ref="O90" si="55">L90+N90</f>
        <v>628.13241175300027</v>
      </c>
      <c r="P90" s="46"/>
    </row>
    <row r="91" spans="1:16" x14ac:dyDescent="0.25">
      <c r="A91" s="60">
        <f>IF(G91&lt;&gt;"",1+MAX($A$13:A90),"")</f>
        <v>52</v>
      </c>
      <c r="C91" s="16" t="s">
        <v>63</v>
      </c>
      <c r="D91" s="59" t="s">
        <v>139</v>
      </c>
      <c r="E91" s="31">
        <f>34.78*3*1.043</f>
        <v>108.82661999999999</v>
      </c>
      <c r="F91" s="39">
        <f>VLOOKUP(H91,'[1]PROJECT SUMMARY'!$C$26:$D$32,2,0)</f>
        <v>0.05</v>
      </c>
      <c r="G91" s="31">
        <f>E91*(1+F91)</f>
        <v>114.267951</v>
      </c>
      <c r="H91" s="16" t="s">
        <v>14</v>
      </c>
      <c r="I91" s="62">
        <v>0.02</v>
      </c>
      <c r="J91" s="71">
        <f>I91*G91</f>
        <v>2.28535902</v>
      </c>
      <c r="K91" s="23">
        <v>52</v>
      </c>
      <c r="L91" s="23">
        <f>K91*J91</f>
        <v>118.83866904</v>
      </c>
      <c r="M91" s="23">
        <v>0.9</v>
      </c>
      <c r="N91" s="23">
        <f>M91*G91</f>
        <v>102.8411559</v>
      </c>
      <c r="O91" s="23">
        <f>L91+N91</f>
        <v>221.67982494</v>
      </c>
      <c r="P91" s="46"/>
    </row>
    <row r="92" spans="1:16" x14ac:dyDescent="0.25">
      <c r="A92" s="60" t="str">
        <f>IF(G92&lt;&gt;"",1+MAX($A$13:A91),"")</f>
        <v/>
      </c>
      <c r="P92" s="46"/>
    </row>
    <row r="93" spans="1:16" x14ac:dyDescent="0.25">
      <c r="A93" s="60" t="str">
        <f>IF(G93&lt;&gt;"",1+MAX($A$13:A92),"")</f>
        <v/>
      </c>
      <c r="D93" s="58" t="s">
        <v>140</v>
      </c>
      <c r="J93" s="71"/>
      <c r="P93" s="46"/>
    </row>
    <row r="94" spans="1:16" x14ac:dyDescent="0.25">
      <c r="A94" s="60">
        <f>IF(G94&lt;&gt;"",1+MAX($A$13:A93),"")</f>
        <v>53</v>
      </c>
      <c r="C94" s="16" t="s">
        <v>63</v>
      </c>
      <c r="D94" s="59" t="s">
        <v>168</v>
      </c>
      <c r="E94" s="31">
        <f>22*1*1*1.5/27</f>
        <v>1.2222222222222223</v>
      </c>
      <c r="F94" s="39">
        <f>VLOOKUP(H94,'PROJECT SUMMARY'!$C$26:$D$32,2,0)</f>
        <v>0.05</v>
      </c>
      <c r="G94" s="31">
        <f t="shared" si="30"/>
        <v>1.2833333333333334</v>
      </c>
      <c r="H94" s="16" t="s">
        <v>16</v>
      </c>
      <c r="I94" s="62">
        <v>3</v>
      </c>
      <c r="J94" s="71">
        <f>I94*G94</f>
        <v>3.8500000000000005</v>
      </c>
      <c r="K94" s="23">
        <v>52</v>
      </c>
      <c r="L94" s="23">
        <f>K94*J94</f>
        <v>200.20000000000002</v>
      </c>
      <c r="M94" s="23">
        <v>185</v>
      </c>
      <c r="N94" s="23">
        <f>M94*G94</f>
        <v>237.41666666666669</v>
      </c>
      <c r="O94" s="23">
        <f>L94+N94</f>
        <v>437.61666666666667</v>
      </c>
      <c r="P94" s="46"/>
    </row>
    <row r="95" spans="1:16" x14ac:dyDescent="0.25">
      <c r="A95" s="60">
        <f>IF(G95&lt;&gt;"",1+MAX($A$13:A94),"")</f>
        <v>54</v>
      </c>
      <c r="C95" s="16" t="s">
        <v>63</v>
      </c>
      <c r="D95" s="59" t="s">
        <v>145</v>
      </c>
      <c r="E95" s="31">
        <f>2.75*4*22*1.043</f>
        <v>252.40599999999998</v>
      </c>
      <c r="F95" s="39">
        <f>VLOOKUP(H95,'PROJECT SUMMARY'!$C$26:$D$32,2,0)</f>
        <v>0.05</v>
      </c>
      <c r="G95" s="31">
        <f t="shared" si="30"/>
        <v>265.02629999999999</v>
      </c>
      <c r="H95" s="16" t="s">
        <v>14</v>
      </c>
      <c r="I95" s="62">
        <v>0.02</v>
      </c>
      <c r="J95" s="71">
        <f>I95*G95</f>
        <v>5.3005259999999996</v>
      </c>
      <c r="K95" s="23">
        <v>52</v>
      </c>
      <c r="L95" s="23">
        <f>K95*J95</f>
        <v>275.62735199999997</v>
      </c>
      <c r="M95" s="23">
        <v>0.9</v>
      </c>
      <c r="N95" s="23">
        <f>M95*G95</f>
        <v>238.52367000000001</v>
      </c>
      <c r="O95" s="23">
        <f>L95+N95</f>
        <v>514.15102200000001</v>
      </c>
      <c r="P95" s="46"/>
    </row>
    <row r="96" spans="1:16" x14ac:dyDescent="0.25">
      <c r="A96" s="60">
        <f>IF(G96&lt;&gt;"",1+MAX($A$13:A95),"")</f>
        <v>55</v>
      </c>
      <c r="C96" s="16" t="s">
        <v>63</v>
      </c>
      <c r="D96" s="59" t="s">
        <v>146</v>
      </c>
      <c r="E96" s="31">
        <f>4*2*22*0.376</f>
        <v>66.176000000000002</v>
      </c>
      <c r="F96" s="39">
        <f>VLOOKUP(H96,'PROJECT SUMMARY'!$C$26:$D$32,2,0)</f>
        <v>0.05</v>
      </c>
      <c r="G96" s="31">
        <f t="shared" ref="G96" si="56">E96*(1+F96)</f>
        <v>69.484800000000007</v>
      </c>
      <c r="H96" s="16" t="s">
        <v>14</v>
      </c>
      <c r="I96" s="62">
        <v>0.02</v>
      </c>
      <c r="J96" s="71">
        <f>I96*G96</f>
        <v>1.3896960000000003</v>
      </c>
      <c r="K96" s="23">
        <v>52</v>
      </c>
      <c r="L96" s="23">
        <f>K96*J96</f>
        <v>72.264192000000008</v>
      </c>
      <c r="M96" s="23">
        <v>0.9</v>
      </c>
      <c r="N96" s="23">
        <f>M96*G96</f>
        <v>62.536320000000011</v>
      </c>
      <c r="O96" s="23">
        <f>L96+N96</f>
        <v>134.80051200000003</v>
      </c>
      <c r="P96" s="46"/>
    </row>
    <row r="97" spans="1:16" x14ac:dyDescent="0.25">
      <c r="A97" s="60" t="str">
        <f>IF(G97&lt;&gt;"",1+MAX($A$13:A96),"")</f>
        <v/>
      </c>
      <c r="D97" s="59"/>
      <c r="I97" s="62"/>
      <c r="J97" s="71"/>
      <c r="P97" s="46"/>
    </row>
    <row r="98" spans="1:16" x14ac:dyDescent="0.25">
      <c r="A98" s="60">
        <f>IF(G98&lt;&gt;"",1+MAX($A$13:A97),"")</f>
        <v>56</v>
      </c>
      <c r="C98" s="16" t="s">
        <v>63</v>
      </c>
      <c r="D98" s="59" t="s">
        <v>169</v>
      </c>
      <c r="E98" s="71">
        <f>4*1*1*1.33/27</f>
        <v>0.19703703703703704</v>
      </c>
      <c r="F98" s="39">
        <f>VLOOKUP(H98,'PROJECT SUMMARY'!$C$26:$D$32,2,0)</f>
        <v>0.05</v>
      </c>
      <c r="G98" s="31">
        <f t="shared" ref="G98:G99" si="57">E98*(1+F98)</f>
        <v>0.2068888888888889</v>
      </c>
      <c r="H98" s="16" t="s">
        <v>16</v>
      </c>
      <c r="I98" s="62">
        <v>3</v>
      </c>
      <c r="J98" s="71">
        <f>I98*G98</f>
        <v>0.6206666666666667</v>
      </c>
      <c r="K98" s="23">
        <v>52</v>
      </c>
      <c r="L98" s="23">
        <f>K98*J98</f>
        <v>32.274666666666668</v>
      </c>
      <c r="M98" s="23">
        <v>185</v>
      </c>
      <c r="N98" s="23">
        <f>M98*G98</f>
        <v>38.274444444444448</v>
      </c>
      <c r="O98" s="23">
        <f>L98+N98</f>
        <v>70.549111111111117</v>
      </c>
      <c r="P98" s="46"/>
    </row>
    <row r="99" spans="1:16" x14ac:dyDescent="0.25">
      <c r="A99" s="60">
        <f>IF(G99&lt;&gt;"",1+MAX($A$13:A98),"")</f>
        <v>57</v>
      </c>
      <c r="C99" s="16" t="s">
        <v>63</v>
      </c>
      <c r="D99" s="59" t="s">
        <v>145</v>
      </c>
      <c r="E99" s="31">
        <f>2.75*4*4*1.043</f>
        <v>45.891999999999996</v>
      </c>
      <c r="F99" s="39">
        <f>VLOOKUP(H99,'PROJECT SUMMARY'!$C$26:$D$32,2,0)</f>
        <v>0.05</v>
      </c>
      <c r="G99" s="31">
        <f t="shared" si="57"/>
        <v>48.186599999999999</v>
      </c>
      <c r="H99" s="16" t="s">
        <v>14</v>
      </c>
      <c r="I99" s="62">
        <v>0.02</v>
      </c>
      <c r="J99" s="71">
        <f>I99*G99</f>
        <v>0.96373200000000003</v>
      </c>
      <c r="K99" s="23">
        <v>52</v>
      </c>
      <c r="L99" s="23">
        <f>K99*J99</f>
        <v>50.114063999999999</v>
      </c>
      <c r="M99" s="23">
        <v>0.9</v>
      </c>
      <c r="N99" s="23">
        <f>M99*G99</f>
        <v>43.367939999999997</v>
      </c>
      <c r="O99" s="23">
        <f>L99+N99</f>
        <v>93.482003999999989</v>
      </c>
      <c r="P99" s="46"/>
    </row>
    <row r="100" spans="1:16" x14ac:dyDescent="0.25">
      <c r="A100" s="60">
        <f>IF(G100&lt;&gt;"",1+MAX($A$13:A99),"")</f>
        <v>58</v>
      </c>
      <c r="C100" s="16" t="s">
        <v>63</v>
      </c>
      <c r="D100" s="59" t="s">
        <v>146</v>
      </c>
      <c r="E100" s="31">
        <f>4*2*4*0.376</f>
        <v>12.032</v>
      </c>
      <c r="F100" s="39">
        <f>VLOOKUP(H100,'PROJECT SUMMARY'!$C$26:$D$32,2,0)</f>
        <v>0.05</v>
      </c>
      <c r="G100" s="31">
        <f t="shared" ref="G100" si="58">E100*(1+F100)</f>
        <v>12.633600000000001</v>
      </c>
      <c r="H100" s="16" t="s">
        <v>14</v>
      </c>
      <c r="I100" s="62">
        <v>0.02</v>
      </c>
      <c r="J100" s="71">
        <f>I100*G100</f>
        <v>0.25267200000000001</v>
      </c>
      <c r="K100" s="23">
        <v>52</v>
      </c>
      <c r="L100" s="23">
        <f>K100*J100</f>
        <v>13.138944</v>
      </c>
      <c r="M100" s="23">
        <v>0.9</v>
      </c>
      <c r="N100" s="23">
        <f>M100*G100</f>
        <v>11.370240000000001</v>
      </c>
      <c r="O100" s="23">
        <f>L100+N100</f>
        <v>24.509184000000001</v>
      </c>
      <c r="P100" s="46"/>
    </row>
    <row r="101" spans="1:16" x14ac:dyDescent="0.25">
      <c r="A101" s="60" t="str">
        <f>IF(G101&lt;&gt;"",1+MAX($A$13:A100),"")</f>
        <v/>
      </c>
      <c r="P101" s="46"/>
    </row>
    <row r="102" spans="1:16" x14ac:dyDescent="0.25">
      <c r="A102" s="60" t="str">
        <f>IF(G102&lt;&gt;"",1+MAX($A$13:A101),"")</f>
        <v/>
      </c>
      <c r="D102" s="58" t="s">
        <v>65</v>
      </c>
      <c r="J102" s="71"/>
      <c r="P102" s="46"/>
    </row>
    <row r="103" spans="1:16" x14ac:dyDescent="0.25">
      <c r="A103" s="60">
        <f>IF(G103&lt;&gt;"",1+MAX($A$13:A102),"")</f>
        <v>59</v>
      </c>
      <c r="C103" s="16" t="s">
        <v>63</v>
      </c>
      <c r="D103" s="59" t="s">
        <v>147</v>
      </c>
      <c r="E103" s="31">
        <f>1666.01*0.33/27</f>
        <v>20.362344444444446</v>
      </c>
      <c r="F103" s="39">
        <f>VLOOKUP(H103,'PROJECT SUMMARY'!$C$26:$D$32,2,0)</f>
        <v>0.05</v>
      </c>
      <c r="G103" s="31">
        <f t="shared" si="30"/>
        <v>21.380461666666669</v>
      </c>
      <c r="H103" s="16" t="s">
        <v>16</v>
      </c>
      <c r="I103" s="62">
        <v>3</v>
      </c>
      <c r="J103" s="71">
        <f>I103*G103</f>
        <v>64.141385000000014</v>
      </c>
      <c r="K103" s="23">
        <v>52</v>
      </c>
      <c r="L103" s="23">
        <f>K103*J103</f>
        <v>3335.3520200000007</v>
      </c>
      <c r="M103" s="23">
        <v>185</v>
      </c>
      <c r="N103" s="23">
        <f t="shared" ref="N103:N156" si="59">M103*G103</f>
        <v>3955.3854083333335</v>
      </c>
      <c r="O103" s="23">
        <f t="shared" ref="O103:O156" si="60">L103+N103</f>
        <v>7290.7374283333338</v>
      </c>
      <c r="P103" s="46"/>
    </row>
    <row r="104" spans="1:16" x14ac:dyDescent="0.25">
      <c r="A104" s="60">
        <f>IF(G104&lt;&gt;"",1+MAX($A$13:A103),"")</f>
        <v>60</v>
      </c>
      <c r="C104" s="16" t="s">
        <v>63</v>
      </c>
      <c r="D104" s="59" t="s">
        <v>148</v>
      </c>
      <c r="E104" s="31">
        <f>1666.01</f>
        <v>1666.01</v>
      </c>
      <c r="F104" s="39">
        <f>VLOOKUP(H104,'PROJECT SUMMARY'!$C$26:$D$32,2,0)</f>
        <v>0.05</v>
      </c>
      <c r="G104" s="31">
        <f t="shared" si="30"/>
        <v>1749.3105</v>
      </c>
      <c r="H104" s="16" t="s">
        <v>12</v>
      </c>
      <c r="I104" s="62">
        <v>0.01</v>
      </c>
      <c r="J104" s="71">
        <f t="shared" ref="J104:J106" si="61">I104*G104</f>
        <v>17.493105</v>
      </c>
      <c r="K104" s="23">
        <v>52</v>
      </c>
      <c r="L104" s="23">
        <f t="shared" ref="L104:L106" si="62">K104*J104</f>
        <v>909.64146000000005</v>
      </c>
      <c r="M104" s="23">
        <v>0.4</v>
      </c>
      <c r="N104" s="23">
        <f t="shared" si="59"/>
        <v>699.72420000000011</v>
      </c>
      <c r="O104" s="23">
        <f t="shared" si="60"/>
        <v>1609.3656600000002</v>
      </c>
      <c r="P104" s="46"/>
    </row>
    <row r="105" spans="1:16" x14ac:dyDescent="0.25">
      <c r="A105" s="60">
        <f>IF(G105&lt;&gt;"",1+MAX($A$13:A104),"")</f>
        <v>61</v>
      </c>
      <c r="C105" s="16" t="s">
        <v>63</v>
      </c>
      <c r="D105" s="59" t="s">
        <v>149</v>
      </c>
      <c r="E105" s="31">
        <f>1666.01</f>
        <v>1666.01</v>
      </c>
      <c r="F105" s="39">
        <f>VLOOKUP(H105,'PROJECT SUMMARY'!$C$26:$D$32,2,0)</f>
        <v>0.05</v>
      </c>
      <c r="G105" s="31">
        <f t="shared" si="30"/>
        <v>1749.3105</v>
      </c>
      <c r="H105" s="16" t="s">
        <v>12</v>
      </c>
      <c r="I105" s="62">
        <v>7.0000000000000001E-3</v>
      </c>
      <c r="J105" s="71">
        <f t="shared" si="61"/>
        <v>12.2451735</v>
      </c>
      <c r="K105" s="23">
        <v>52</v>
      </c>
      <c r="L105" s="23">
        <f t="shared" si="62"/>
        <v>636.74902199999997</v>
      </c>
      <c r="M105" s="23">
        <v>0.32600000000000001</v>
      </c>
      <c r="N105" s="23">
        <f t="shared" si="59"/>
        <v>570.27522299999998</v>
      </c>
      <c r="O105" s="23">
        <f t="shared" si="60"/>
        <v>1207.0242450000001</v>
      </c>
      <c r="P105" s="46"/>
    </row>
    <row r="106" spans="1:16" x14ac:dyDescent="0.25">
      <c r="A106" s="60">
        <f>IF(G106&lt;&gt;"",1+MAX($A$13:A105),"")</f>
        <v>62</v>
      </c>
      <c r="C106" s="16" t="s">
        <v>63</v>
      </c>
      <c r="D106" s="59" t="s">
        <v>219</v>
      </c>
      <c r="E106" s="31">
        <f>1666.01*0.33/27</f>
        <v>20.362344444444446</v>
      </c>
      <c r="F106" s="39">
        <f>VLOOKUP(H106,'PROJECT SUMMARY'!$C$26:$D$32,2,0)</f>
        <v>0.05</v>
      </c>
      <c r="G106" s="31">
        <f t="shared" ref="G106" si="63">E106*(1+F106)</f>
        <v>21.380461666666669</v>
      </c>
      <c r="H106" s="16" t="s">
        <v>16</v>
      </c>
      <c r="I106" s="62">
        <v>0.5</v>
      </c>
      <c r="J106" s="71">
        <f t="shared" si="61"/>
        <v>10.690230833333334</v>
      </c>
      <c r="K106" s="23">
        <v>52</v>
      </c>
      <c r="L106" s="23">
        <f t="shared" si="62"/>
        <v>555.89200333333338</v>
      </c>
      <c r="M106" s="23">
        <v>35</v>
      </c>
      <c r="N106" s="23">
        <f t="shared" si="59"/>
        <v>748.31615833333342</v>
      </c>
      <c r="O106" s="23">
        <f t="shared" si="60"/>
        <v>1304.2081616666669</v>
      </c>
      <c r="P106" s="46"/>
    </row>
    <row r="107" spans="1:16" x14ac:dyDescent="0.25">
      <c r="A107" s="60">
        <f>IF(G107&lt;&gt;"",1+MAX($A$13:A106),"")</f>
        <v>63</v>
      </c>
      <c r="C107" s="16" t="s">
        <v>63</v>
      </c>
      <c r="D107" s="59" t="s">
        <v>218</v>
      </c>
      <c r="E107" s="31">
        <f>1666.01</f>
        <v>1666.01</v>
      </c>
      <c r="F107" s="39">
        <f>VLOOKUP(H107,'PROJECT SUMMARY'!$C$26:$D$32,2,0)</f>
        <v>0.05</v>
      </c>
      <c r="G107" s="31">
        <f t="shared" ref="G107" si="64">E107*(1+F107)</f>
        <v>1749.3105</v>
      </c>
      <c r="H107" s="16" t="s">
        <v>12</v>
      </c>
      <c r="I107" s="62">
        <v>1.2999999999999999E-2</v>
      </c>
      <c r="J107" s="71">
        <f t="shared" ref="J107" si="65">I107*G107</f>
        <v>22.7410365</v>
      </c>
      <c r="K107" s="23">
        <v>52</v>
      </c>
      <c r="L107" s="23">
        <f t="shared" ref="L107" si="66">K107*J107</f>
        <v>1182.5338979999999</v>
      </c>
      <c r="M107" s="23">
        <v>1.42</v>
      </c>
      <c r="N107" s="23">
        <f t="shared" ref="N107" si="67">M107*G107</f>
        <v>2484.0209099999997</v>
      </c>
      <c r="O107" s="23">
        <f t="shared" ref="O107" si="68">L107+N107</f>
        <v>3666.5548079999999</v>
      </c>
      <c r="P107" s="46"/>
    </row>
    <row r="108" spans="1:16" x14ac:dyDescent="0.25">
      <c r="A108" s="60">
        <f>IF(G108&lt;&gt;"",1+MAX($A$13:A107),"")</f>
        <v>64</v>
      </c>
      <c r="C108" s="16" t="s">
        <v>63</v>
      </c>
      <c r="D108" s="59" t="s">
        <v>220</v>
      </c>
      <c r="E108" s="31">
        <v>225</v>
      </c>
      <c r="F108" s="39">
        <f>VLOOKUP(H108,'PROJECT SUMMARY'!$C$26:$D$32,2,0)</f>
        <v>0.05</v>
      </c>
      <c r="G108" s="31">
        <f t="shared" ref="G108" si="69">E108*(1+F108)</f>
        <v>236.25</v>
      </c>
      <c r="H108" s="16" t="s">
        <v>11</v>
      </c>
      <c r="I108" s="62">
        <v>6.5000000000000002E-2</v>
      </c>
      <c r="J108" s="71">
        <f t="shared" ref="J108" si="70">I108*G108</f>
        <v>15.356250000000001</v>
      </c>
      <c r="K108" s="23">
        <v>52</v>
      </c>
      <c r="L108" s="23">
        <f t="shared" ref="L108" si="71">K108*J108</f>
        <v>798.52500000000009</v>
      </c>
      <c r="M108" s="23">
        <v>1.6640000000000001</v>
      </c>
      <c r="N108" s="23">
        <f t="shared" ref="N108" si="72">M108*G108</f>
        <v>393.12000000000006</v>
      </c>
      <c r="O108" s="23">
        <f t="shared" ref="O108" si="73">L108+N108</f>
        <v>1191.6450000000002</v>
      </c>
      <c r="P108" s="46"/>
    </row>
    <row r="109" spans="1:16" x14ac:dyDescent="0.25">
      <c r="A109" s="60" t="str">
        <f>IF(G109&lt;&gt;"",1+MAX($A$13:A108),"")</f>
        <v/>
      </c>
      <c r="D109" s="59"/>
      <c r="I109" s="62"/>
      <c r="J109" s="71"/>
      <c r="P109" s="46"/>
    </row>
    <row r="110" spans="1:16" x14ac:dyDescent="0.25">
      <c r="A110" s="60">
        <f>IF(G110&lt;&gt;"",1+MAX($A$13:A109),"")</f>
        <v>65</v>
      </c>
      <c r="C110" s="16" t="s">
        <v>63</v>
      </c>
      <c r="D110" s="59" t="s">
        <v>150</v>
      </c>
      <c r="E110" s="31">
        <f>5488.05*0.33/27</f>
        <v>67.076166666666666</v>
      </c>
      <c r="F110" s="39">
        <f>VLOOKUP(H110,'PROJECT SUMMARY'!$C$26:$D$32,2,0)</f>
        <v>0.05</v>
      </c>
      <c r="G110" s="31">
        <f t="shared" ref="G110:G118" si="74">E110*(1+F110)</f>
        <v>70.429974999999999</v>
      </c>
      <c r="H110" s="16" t="s">
        <v>16</v>
      </c>
      <c r="I110" s="62">
        <v>3</v>
      </c>
      <c r="J110" s="71">
        <f>I110*G110</f>
        <v>211.28992499999998</v>
      </c>
      <c r="K110" s="23">
        <v>52</v>
      </c>
      <c r="L110" s="23">
        <f>K110*J110</f>
        <v>10987.076099999998</v>
      </c>
      <c r="M110" s="23">
        <v>185</v>
      </c>
      <c r="N110" s="23">
        <f t="shared" ref="N110:N118" si="75">M110*G110</f>
        <v>13029.545375</v>
      </c>
      <c r="O110" s="23">
        <f t="shared" ref="O110:O118" si="76">L110+N110</f>
        <v>24016.621475</v>
      </c>
      <c r="P110" s="46"/>
    </row>
    <row r="111" spans="1:16" x14ac:dyDescent="0.25">
      <c r="A111" s="60">
        <f>IF(G111&lt;&gt;"",1+MAX($A$13:A110),"")</f>
        <v>66</v>
      </c>
      <c r="C111" s="16" t="s">
        <v>63</v>
      </c>
      <c r="D111" s="59" t="s">
        <v>148</v>
      </c>
      <c r="E111" s="31">
        <f>5488.05</f>
        <v>5488.05</v>
      </c>
      <c r="F111" s="39">
        <f>VLOOKUP(H111,'PROJECT SUMMARY'!$C$26:$D$32,2,0)</f>
        <v>0.05</v>
      </c>
      <c r="G111" s="31">
        <f t="shared" si="74"/>
        <v>5762.4525000000003</v>
      </c>
      <c r="H111" s="16" t="s">
        <v>12</v>
      </c>
      <c r="I111" s="62">
        <v>0.01</v>
      </c>
      <c r="J111" s="71">
        <f t="shared" ref="J111:J113" si="77">I111*G111</f>
        <v>57.624525000000006</v>
      </c>
      <c r="K111" s="23">
        <v>52</v>
      </c>
      <c r="L111" s="23">
        <f t="shared" ref="L111:L113" si="78">K111*J111</f>
        <v>2996.4753000000001</v>
      </c>
      <c r="M111" s="23">
        <v>0.4</v>
      </c>
      <c r="N111" s="23">
        <f t="shared" si="75"/>
        <v>2304.9810000000002</v>
      </c>
      <c r="O111" s="23">
        <f t="shared" si="76"/>
        <v>5301.4562999999998</v>
      </c>
      <c r="P111" s="46"/>
    </row>
    <row r="112" spans="1:16" x14ac:dyDescent="0.25">
      <c r="A112" s="60">
        <f>IF(G112&lt;&gt;"",1+MAX($A$13:A111),"")</f>
        <v>67</v>
      </c>
      <c r="C112" s="16" t="s">
        <v>63</v>
      </c>
      <c r="D112" s="59" t="s">
        <v>149</v>
      </c>
      <c r="E112" s="31">
        <f>5488.05</f>
        <v>5488.05</v>
      </c>
      <c r="F112" s="39">
        <f>VLOOKUP(H112,'PROJECT SUMMARY'!$C$26:$D$32,2,0)</f>
        <v>0.05</v>
      </c>
      <c r="G112" s="31">
        <f t="shared" si="74"/>
        <v>5762.4525000000003</v>
      </c>
      <c r="H112" s="16" t="s">
        <v>12</v>
      </c>
      <c r="I112" s="62">
        <v>7.0000000000000001E-3</v>
      </c>
      <c r="J112" s="71">
        <f t="shared" si="77"/>
        <v>40.3371675</v>
      </c>
      <c r="K112" s="23">
        <v>52</v>
      </c>
      <c r="L112" s="23">
        <f t="shared" si="78"/>
        <v>2097.53271</v>
      </c>
      <c r="M112" s="23">
        <v>0.32600000000000001</v>
      </c>
      <c r="N112" s="23">
        <f t="shared" si="75"/>
        <v>1878.5595150000001</v>
      </c>
      <c r="O112" s="23">
        <f t="shared" si="76"/>
        <v>3976.0922250000003</v>
      </c>
      <c r="P112" s="46"/>
    </row>
    <row r="113" spans="1:16" x14ac:dyDescent="0.25">
      <c r="A113" s="60">
        <f>IF(G113&lt;&gt;"",1+MAX($A$13:A112),"")</f>
        <v>68</v>
      </c>
      <c r="C113" s="16" t="s">
        <v>63</v>
      </c>
      <c r="D113" s="59" t="s">
        <v>111</v>
      </c>
      <c r="E113" s="31">
        <f>5488.05*0.5/27</f>
        <v>101.63055555555556</v>
      </c>
      <c r="F113" s="39">
        <f>VLOOKUP(H113,'PROJECT SUMMARY'!$C$26:$D$32,2,0)</f>
        <v>0.05</v>
      </c>
      <c r="G113" s="31">
        <f t="shared" si="74"/>
        <v>106.71208333333334</v>
      </c>
      <c r="H113" s="16" t="s">
        <v>16</v>
      </c>
      <c r="I113" s="62">
        <v>0.5</v>
      </c>
      <c r="J113" s="71">
        <f t="shared" si="77"/>
        <v>53.35604166666667</v>
      </c>
      <c r="K113" s="23">
        <v>52</v>
      </c>
      <c r="L113" s="23">
        <f t="shared" si="78"/>
        <v>2774.5141666666668</v>
      </c>
      <c r="M113" s="23">
        <v>35</v>
      </c>
      <c r="N113" s="23">
        <f t="shared" si="75"/>
        <v>3734.9229166666669</v>
      </c>
      <c r="O113" s="23">
        <f t="shared" si="76"/>
        <v>6509.4370833333342</v>
      </c>
      <c r="P113" s="46"/>
    </row>
    <row r="114" spans="1:16" x14ac:dyDescent="0.25">
      <c r="A114" s="60" t="str">
        <f>IF(G114&lt;&gt;"",1+MAX($A$13:A113),"")</f>
        <v/>
      </c>
      <c r="D114" s="59"/>
      <c r="I114" s="62"/>
      <c r="J114" s="71"/>
      <c r="P114" s="46"/>
    </row>
    <row r="115" spans="1:16" x14ac:dyDescent="0.25">
      <c r="A115" s="60">
        <f>IF(G115&lt;&gt;"",1+MAX($A$13:A114),"")</f>
        <v>69</v>
      </c>
      <c r="C115" s="16" t="s">
        <v>63</v>
      </c>
      <c r="D115" s="59" t="s">
        <v>151</v>
      </c>
      <c r="E115" s="31">
        <f>5259.25*0.583/27</f>
        <v>113.56084259259259</v>
      </c>
      <c r="F115" s="39">
        <f>VLOOKUP(H115,'PROJECT SUMMARY'!$C$26:$D$32,2,0)</f>
        <v>0.05</v>
      </c>
      <c r="G115" s="31">
        <f t="shared" si="74"/>
        <v>119.23888472222222</v>
      </c>
      <c r="H115" s="16" t="s">
        <v>16</v>
      </c>
      <c r="I115" s="62">
        <v>3</v>
      </c>
      <c r="J115" s="71">
        <f>I115*G115</f>
        <v>357.71665416666667</v>
      </c>
      <c r="K115" s="23">
        <v>52</v>
      </c>
      <c r="L115" s="23">
        <f>K115*J115</f>
        <v>18601.266016666668</v>
      </c>
      <c r="M115" s="23">
        <v>185</v>
      </c>
      <c r="N115" s="23">
        <f t="shared" si="75"/>
        <v>22059.193673611113</v>
      </c>
      <c r="O115" s="23">
        <f t="shared" si="76"/>
        <v>40660.459690277785</v>
      </c>
      <c r="P115" s="46"/>
    </row>
    <row r="116" spans="1:16" x14ac:dyDescent="0.25">
      <c r="A116" s="60">
        <f>IF(G116&lt;&gt;"",1+MAX($A$13:A115),"")</f>
        <v>70</v>
      </c>
      <c r="C116" s="16" t="s">
        <v>63</v>
      </c>
      <c r="D116" s="59" t="s">
        <v>106</v>
      </c>
      <c r="E116" s="31">
        <v>13925.67</v>
      </c>
      <c r="F116" s="39">
        <f>VLOOKUP(H116,'PROJECT SUMMARY'!$C$26:$D$32,2,0)</f>
        <v>0.05</v>
      </c>
      <c r="G116" s="31">
        <f t="shared" si="74"/>
        <v>14621.953500000001</v>
      </c>
      <c r="H116" s="16" t="s">
        <v>14</v>
      </c>
      <c r="I116" s="62">
        <v>1.4999999999999999E-2</v>
      </c>
      <c r="J116" s="71">
        <f t="shared" ref="J116:J118" si="79">I116*G116</f>
        <v>219.32930250000001</v>
      </c>
      <c r="K116" s="23">
        <v>52</v>
      </c>
      <c r="L116" s="23">
        <f t="shared" ref="L116:L118" si="80">K116*J116</f>
        <v>11405.123730000001</v>
      </c>
      <c r="M116" s="23">
        <v>0.9</v>
      </c>
      <c r="N116" s="23">
        <f t="shared" si="75"/>
        <v>13159.758150000001</v>
      </c>
      <c r="O116" s="23">
        <f t="shared" si="76"/>
        <v>24564.881880000001</v>
      </c>
      <c r="P116" s="46"/>
    </row>
    <row r="117" spans="1:16" x14ac:dyDescent="0.25">
      <c r="A117" s="60">
        <f>IF(G117&lt;&gt;"",1+MAX($A$13:A116),"")</f>
        <v>71</v>
      </c>
      <c r="C117" s="16" t="s">
        <v>63</v>
      </c>
      <c r="D117" s="59" t="s">
        <v>142</v>
      </c>
      <c r="E117" s="31">
        <v>3492.59</v>
      </c>
      <c r="F117" s="39">
        <f>VLOOKUP(H117,'PROJECT SUMMARY'!$C$26:$D$32,2,0)</f>
        <v>0.05</v>
      </c>
      <c r="G117" s="31">
        <f t="shared" si="74"/>
        <v>3667.2195000000002</v>
      </c>
      <c r="H117" s="16" t="s">
        <v>14</v>
      </c>
      <c r="I117" s="62">
        <v>1.4999999999999999E-2</v>
      </c>
      <c r="J117" s="71">
        <f t="shared" si="79"/>
        <v>55.008292500000003</v>
      </c>
      <c r="K117" s="23">
        <v>52</v>
      </c>
      <c r="L117" s="23">
        <f t="shared" si="80"/>
        <v>2860.4312100000002</v>
      </c>
      <c r="M117" s="23">
        <v>0.9</v>
      </c>
      <c r="N117" s="23">
        <f t="shared" si="75"/>
        <v>3300.49755</v>
      </c>
      <c r="O117" s="23">
        <f t="shared" si="76"/>
        <v>6160.9287600000007</v>
      </c>
      <c r="P117" s="46"/>
    </row>
    <row r="118" spans="1:16" x14ac:dyDescent="0.25">
      <c r="A118" s="60">
        <f>IF(G118&lt;&gt;"",1+MAX($A$13:A117),"")</f>
        <v>72</v>
      </c>
      <c r="C118" s="16" t="s">
        <v>63</v>
      </c>
      <c r="D118" s="59" t="s">
        <v>152</v>
      </c>
      <c r="E118" s="31">
        <f>30.61*1.502</f>
        <v>45.976219999999998</v>
      </c>
      <c r="F118" s="39">
        <f>VLOOKUP(H118,'PROJECT SUMMARY'!$C$26:$D$32,2,0)</f>
        <v>0.05</v>
      </c>
      <c r="G118" s="31">
        <f t="shared" si="74"/>
        <v>48.275030999999998</v>
      </c>
      <c r="H118" s="16" t="s">
        <v>14</v>
      </c>
      <c r="I118" s="62">
        <v>1.4999999999999999E-2</v>
      </c>
      <c r="J118" s="71">
        <f t="shared" si="79"/>
        <v>0.72412546499999997</v>
      </c>
      <c r="K118" s="23">
        <v>52</v>
      </c>
      <c r="L118" s="23">
        <f t="shared" si="80"/>
        <v>37.654524179999996</v>
      </c>
      <c r="M118" s="23">
        <v>0.9</v>
      </c>
      <c r="N118" s="23">
        <f t="shared" si="75"/>
        <v>43.447527899999997</v>
      </c>
      <c r="O118" s="23">
        <f t="shared" si="76"/>
        <v>81.102052079999993</v>
      </c>
      <c r="P118" s="46"/>
    </row>
    <row r="119" spans="1:16" x14ac:dyDescent="0.25">
      <c r="A119" s="60">
        <f>IF(G119&lt;&gt;"",1+MAX($A$13:A118),"")</f>
        <v>73</v>
      </c>
      <c r="C119" s="16" t="s">
        <v>63</v>
      </c>
      <c r="D119" s="59" t="s">
        <v>153</v>
      </c>
      <c r="E119" s="31">
        <f>96.08*2.67</f>
        <v>256.53359999999998</v>
      </c>
      <c r="F119" s="39">
        <f>VLOOKUP(H119,'PROJECT SUMMARY'!$C$26:$D$32,2,0)</f>
        <v>0.05</v>
      </c>
      <c r="G119" s="31">
        <f t="shared" ref="G119:G123" si="81">E119*(1+F119)</f>
        <v>269.36027999999999</v>
      </c>
      <c r="H119" s="16" t="s">
        <v>14</v>
      </c>
      <c r="I119" s="62">
        <v>1.4999999999999999E-2</v>
      </c>
      <c r="J119" s="71">
        <f t="shared" ref="J119:J123" si="82">I119*G119</f>
        <v>4.0404041999999993</v>
      </c>
      <c r="K119" s="23">
        <v>52</v>
      </c>
      <c r="L119" s="23">
        <f t="shared" ref="L119:L123" si="83">K119*J119</f>
        <v>210.10101839999996</v>
      </c>
      <c r="M119" s="23">
        <v>0.9</v>
      </c>
      <c r="N119" s="23">
        <f t="shared" ref="N119:N123" si="84">M119*G119</f>
        <v>242.424252</v>
      </c>
      <c r="O119" s="23">
        <f t="shared" ref="O119:O123" si="85">L119+N119</f>
        <v>452.52527039999995</v>
      </c>
      <c r="P119" s="46"/>
    </row>
    <row r="120" spans="1:16" x14ac:dyDescent="0.25">
      <c r="A120" s="60">
        <f>IF(G120&lt;&gt;"",1+MAX($A$13:A119),"")</f>
        <v>74</v>
      </c>
      <c r="C120" s="16" t="s">
        <v>63</v>
      </c>
      <c r="D120" s="59" t="s">
        <v>154</v>
      </c>
      <c r="E120" s="31">
        <f>29.54*1.502</f>
        <v>44.369079999999997</v>
      </c>
      <c r="F120" s="39">
        <f>VLOOKUP(H120,'PROJECT SUMMARY'!$C$26:$D$32,2,0)</f>
        <v>0.05</v>
      </c>
      <c r="G120" s="31">
        <f t="shared" si="81"/>
        <v>46.587533999999998</v>
      </c>
      <c r="H120" s="16" t="s">
        <v>14</v>
      </c>
      <c r="I120" s="62">
        <v>1.4999999999999999E-2</v>
      </c>
      <c r="J120" s="71">
        <f t="shared" si="82"/>
        <v>0.69881300999999996</v>
      </c>
      <c r="K120" s="23">
        <v>52</v>
      </c>
      <c r="L120" s="23">
        <f t="shared" si="83"/>
        <v>36.338276520000001</v>
      </c>
      <c r="M120" s="23">
        <v>0.9</v>
      </c>
      <c r="N120" s="23">
        <f t="shared" si="84"/>
        <v>41.928780599999996</v>
      </c>
      <c r="O120" s="23">
        <f t="shared" si="85"/>
        <v>78.267057120000004</v>
      </c>
      <c r="P120" s="46"/>
    </row>
    <row r="121" spans="1:16" x14ac:dyDescent="0.25">
      <c r="A121" s="60">
        <f>IF(G121&lt;&gt;"",1+MAX($A$13:A120),"")</f>
        <v>75</v>
      </c>
      <c r="C121" s="16" t="s">
        <v>63</v>
      </c>
      <c r="D121" s="59" t="s">
        <v>155</v>
      </c>
      <c r="E121" s="31">
        <f>114.17*2.67</f>
        <v>304.83389999999997</v>
      </c>
      <c r="F121" s="39">
        <f>VLOOKUP(H121,'PROJECT SUMMARY'!$C$26:$D$32,2,0)</f>
        <v>0.05</v>
      </c>
      <c r="G121" s="31">
        <f t="shared" si="81"/>
        <v>320.07559499999996</v>
      </c>
      <c r="H121" s="16" t="s">
        <v>14</v>
      </c>
      <c r="I121" s="62">
        <v>1.4999999999999999E-2</v>
      </c>
      <c r="J121" s="71">
        <f t="shared" si="82"/>
        <v>4.8011339249999994</v>
      </c>
      <c r="K121" s="23">
        <v>52</v>
      </c>
      <c r="L121" s="23">
        <f t="shared" si="83"/>
        <v>249.65896409999996</v>
      </c>
      <c r="M121" s="23">
        <v>0.9</v>
      </c>
      <c r="N121" s="23">
        <f t="shared" si="84"/>
        <v>288.06803549999995</v>
      </c>
      <c r="O121" s="23">
        <f t="shared" si="85"/>
        <v>537.72699959999989</v>
      </c>
      <c r="P121" s="46"/>
    </row>
    <row r="122" spans="1:16" x14ac:dyDescent="0.25">
      <c r="A122" s="60" t="str">
        <f>IF(G122&lt;&gt;"",1+MAX($A$13:A121),"")</f>
        <v/>
      </c>
      <c r="D122" s="59"/>
      <c r="I122" s="62"/>
      <c r="J122" s="71"/>
      <c r="P122" s="46"/>
    </row>
    <row r="123" spans="1:16" x14ac:dyDescent="0.25">
      <c r="A123" s="60">
        <f>IF(G123&lt;&gt;"",1+MAX($A$13:A122),"")</f>
        <v>76</v>
      </c>
      <c r="C123" s="16" t="s">
        <v>63</v>
      </c>
      <c r="D123" s="59" t="s">
        <v>156</v>
      </c>
      <c r="E123" s="71">
        <f>6.48*0.75*1.33/27</f>
        <v>0.23940000000000003</v>
      </c>
      <c r="F123" s="39">
        <f>VLOOKUP(H123,'PROJECT SUMMARY'!$C$26:$D$32,2,0)</f>
        <v>0.05</v>
      </c>
      <c r="G123" s="31">
        <f t="shared" si="81"/>
        <v>0.25137000000000004</v>
      </c>
      <c r="H123" s="16" t="s">
        <v>16</v>
      </c>
      <c r="I123" s="62">
        <v>3</v>
      </c>
      <c r="J123" s="71">
        <f t="shared" si="82"/>
        <v>0.75411000000000006</v>
      </c>
      <c r="K123" s="23">
        <v>52</v>
      </c>
      <c r="L123" s="23">
        <f t="shared" si="83"/>
        <v>39.213720000000002</v>
      </c>
      <c r="M123" s="23">
        <v>185</v>
      </c>
      <c r="N123" s="23">
        <f t="shared" si="84"/>
        <v>46.503450000000008</v>
      </c>
      <c r="O123" s="23">
        <f t="shared" si="85"/>
        <v>85.71717000000001</v>
      </c>
      <c r="P123" s="46"/>
    </row>
    <row r="124" spans="1:16" x14ac:dyDescent="0.25">
      <c r="A124" s="60" t="str">
        <f>IF(G124&lt;&gt;"",1+MAX($A$13:A123),"")</f>
        <v/>
      </c>
      <c r="P124" s="46"/>
    </row>
    <row r="125" spans="1:16" x14ac:dyDescent="0.25">
      <c r="A125" s="60" t="str">
        <f>IF(G125&lt;&gt;"",1+MAX($A$13:A124),"")</f>
        <v/>
      </c>
      <c r="D125" s="58" t="s">
        <v>157</v>
      </c>
      <c r="J125" s="71"/>
      <c r="P125" s="46"/>
    </row>
    <row r="126" spans="1:16" x14ac:dyDescent="0.25">
      <c r="A126" s="60">
        <f>IF(G126&lt;&gt;"",1+MAX($A$13:A125),"")</f>
        <v>77</v>
      </c>
      <c r="C126" s="16" t="s">
        <v>63</v>
      </c>
      <c r="D126" s="59" t="s">
        <v>159</v>
      </c>
      <c r="E126" s="31">
        <f>49.16*0.83*2.4167/27</f>
        <v>3.6521528429629626</v>
      </c>
      <c r="F126" s="39">
        <f>VLOOKUP(H126,'PROJECT SUMMARY'!$C$26:$D$32,2,0)</f>
        <v>0.05</v>
      </c>
      <c r="G126" s="31">
        <f t="shared" ref="G126:G127" si="86">E126*(1+F126)</f>
        <v>3.834760485111111</v>
      </c>
      <c r="H126" s="16" t="s">
        <v>16</v>
      </c>
      <c r="I126" s="62">
        <v>3</v>
      </c>
      <c r="J126" s="71">
        <f>I126*G126</f>
        <v>11.504281455333333</v>
      </c>
      <c r="K126" s="23">
        <v>52</v>
      </c>
      <c r="L126" s="23">
        <f>K126*J126</f>
        <v>598.2226356773333</v>
      </c>
      <c r="M126" s="23">
        <v>185</v>
      </c>
      <c r="N126" s="23">
        <f>M126*G126</f>
        <v>709.43068974555558</v>
      </c>
      <c r="O126" s="23">
        <f>L126+N126</f>
        <v>1307.6533254228889</v>
      </c>
      <c r="P126" s="46"/>
    </row>
    <row r="127" spans="1:16" x14ac:dyDescent="0.25">
      <c r="A127" s="60">
        <f>IF(G127&lt;&gt;"",1+MAX($A$13:A126),"")</f>
        <v>78</v>
      </c>
      <c r="C127" s="16" t="s">
        <v>63</v>
      </c>
      <c r="D127" s="59" t="s">
        <v>160</v>
      </c>
      <c r="E127" s="31">
        <f>12*49.16*1.502</f>
        <v>886.05983999999989</v>
      </c>
      <c r="F127" s="39">
        <f>VLOOKUP(H127,'PROJECT SUMMARY'!$C$26:$D$32,2,0)</f>
        <v>0.05</v>
      </c>
      <c r="G127" s="31">
        <f t="shared" si="86"/>
        <v>930.36283199999991</v>
      </c>
      <c r="H127" s="16" t="s">
        <v>14</v>
      </c>
      <c r="I127" s="62">
        <v>1.4999999999999999E-2</v>
      </c>
      <c r="J127" s="71">
        <f t="shared" ref="J127" si="87">I127*G127</f>
        <v>13.955442479999999</v>
      </c>
      <c r="K127" s="23">
        <v>52</v>
      </c>
      <c r="L127" s="23">
        <f t="shared" ref="L127" si="88">K127*J127</f>
        <v>725.68300895999994</v>
      </c>
      <c r="M127" s="23">
        <v>0.9</v>
      </c>
      <c r="N127" s="23">
        <f t="shared" ref="N127" si="89">M127*G127</f>
        <v>837.32654879999996</v>
      </c>
      <c r="O127" s="23">
        <f t="shared" ref="O127" si="90">L127+N127</f>
        <v>1563.00955776</v>
      </c>
      <c r="P127" s="46"/>
    </row>
    <row r="128" spans="1:16" x14ac:dyDescent="0.25">
      <c r="A128" s="60">
        <f>IF(G128&lt;&gt;"",1+MAX($A$13:A127),"")</f>
        <v>79</v>
      </c>
      <c r="C128" s="16" t="s">
        <v>63</v>
      </c>
      <c r="D128" s="59" t="s">
        <v>161</v>
      </c>
      <c r="E128" s="31">
        <f>4*49.16*1.043</f>
        <v>205.09551999999996</v>
      </c>
      <c r="F128" s="39">
        <f>VLOOKUP(H128,'PROJECT SUMMARY'!$C$26:$D$32,2,0)</f>
        <v>0.05</v>
      </c>
      <c r="G128" s="31">
        <f t="shared" ref="G128" si="91">E128*(1+F128)</f>
        <v>215.35029599999999</v>
      </c>
      <c r="H128" s="16" t="s">
        <v>14</v>
      </c>
      <c r="I128" s="62">
        <v>1.4999999999999999E-2</v>
      </c>
      <c r="J128" s="71">
        <f t="shared" ref="J128" si="92">I128*G128</f>
        <v>3.2302544399999995</v>
      </c>
      <c r="K128" s="23">
        <v>52</v>
      </c>
      <c r="L128" s="23">
        <f t="shared" ref="L128" si="93">K128*J128</f>
        <v>167.97323087999996</v>
      </c>
      <c r="M128" s="23">
        <v>0.9</v>
      </c>
      <c r="N128" s="23">
        <f t="shared" ref="N128" si="94">M128*G128</f>
        <v>193.81526639999998</v>
      </c>
      <c r="O128" s="23">
        <f t="shared" ref="O128" si="95">L128+N128</f>
        <v>361.78849727999994</v>
      </c>
      <c r="P128" s="46"/>
    </row>
    <row r="129" spans="1:16" x14ac:dyDescent="0.25">
      <c r="A129" s="60">
        <f>IF(G129&lt;&gt;"",1+MAX($A$13:A128),"")</f>
        <v>80</v>
      </c>
      <c r="C129" s="16" t="s">
        <v>63</v>
      </c>
      <c r="D129" s="59" t="s">
        <v>158</v>
      </c>
      <c r="E129" s="31">
        <f>49.16*6.5*0.376</f>
        <v>120.14703999999999</v>
      </c>
      <c r="F129" s="39">
        <f>VLOOKUP(H129,'PROJECT SUMMARY'!$C$26:$D$32,2,0)</f>
        <v>0.05</v>
      </c>
      <c r="G129" s="31">
        <f t="shared" ref="G129" si="96">E129*(1+F129)</f>
        <v>126.154392</v>
      </c>
      <c r="H129" s="16" t="s">
        <v>14</v>
      </c>
      <c r="I129" s="62">
        <v>1.4999999999999999E-2</v>
      </c>
      <c r="J129" s="71">
        <f t="shared" ref="J129" si="97">I129*G129</f>
        <v>1.89231588</v>
      </c>
      <c r="K129" s="23">
        <v>52</v>
      </c>
      <c r="L129" s="23">
        <f t="shared" ref="L129" si="98">K129*J129</f>
        <v>98.40042575999999</v>
      </c>
      <c r="M129" s="23">
        <v>0.9</v>
      </c>
      <c r="N129" s="23">
        <f t="shared" ref="N129" si="99">M129*G129</f>
        <v>113.5389528</v>
      </c>
      <c r="O129" s="23">
        <f t="shared" ref="O129" si="100">L129+N129</f>
        <v>211.93937855999999</v>
      </c>
      <c r="P129" s="46"/>
    </row>
    <row r="130" spans="1:16" x14ac:dyDescent="0.25">
      <c r="A130" s="60" t="str">
        <f>IF(G130&lt;&gt;"",1+MAX($A$13:A129),"")</f>
        <v/>
      </c>
      <c r="D130" s="59"/>
      <c r="I130" s="62"/>
      <c r="J130" s="71"/>
      <c r="P130" s="46"/>
    </row>
    <row r="131" spans="1:16" x14ac:dyDescent="0.25">
      <c r="A131" s="60">
        <f>IF(G131&lt;&gt;"",1+MAX($A$13:A130),"")</f>
        <v>81</v>
      </c>
      <c r="C131" s="16" t="s">
        <v>63</v>
      </c>
      <c r="D131" s="59" t="s">
        <v>434</v>
      </c>
      <c r="E131" s="31">
        <f>302.9*2.167*0.583/27</f>
        <v>14.173038774074072</v>
      </c>
      <c r="F131" s="39">
        <f>VLOOKUP(H131,'[1]PROJECT SUMMARY'!$C$26:$D$32,2,0)</f>
        <v>0.05</v>
      </c>
      <c r="G131" s="31">
        <f t="shared" ref="G131:G149" si="101">E131*(1+F131)</f>
        <v>14.881690712777777</v>
      </c>
      <c r="H131" s="16" t="s">
        <v>16</v>
      </c>
      <c r="I131" s="62">
        <v>3</v>
      </c>
      <c r="J131" s="71">
        <f>I131*G131</f>
        <v>44.645072138333333</v>
      </c>
      <c r="K131" s="23">
        <v>52</v>
      </c>
      <c r="L131" s="23">
        <f>K131*J131</f>
        <v>2321.5437511933333</v>
      </c>
      <c r="M131" s="23">
        <v>185</v>
      </c>
      <c r="N131" s="23">
        <f>M131*G131</f>
        <v>2753.1127818638888</v>
      </c>
      <c r="O131" s="23">
        <f>L131+N131</f>
        <v>5074.6565330572221</v>
      </c>
      <c r="P131" s="46"/>
    </row>
    <row r="132" spans="1:16" x14ac:dyDescent="0.25">
      <c r="A132" s="60">
        <f>IF(G132&lt;&gt;"",1+MAX($A$13:A131),"")</f>
        <v>82</v>
      </c>
      <c r="C132" s="16" t="s">
        <v>63</v>
      </c>
      <c r="D132" s="59" t="s">
        <v>158</v>
      </c>
      <c r="E132" s="31">
        <f>309.9/1*0.376*5</f>
        <v>582.61199999999997</v>
      </c>
      <c r="F132" s="39">
        <f>VLOOKUP(H132,'[1]PROJECT SUMMARY'!$C$26:$D$32,2,0)</f>
        <v>0.05</v>
      </c>
      <c r="G132" s="31">
        <f t="shared" si="101"/>
        <v>611.74260000000004</v>
      </c>
      <c r="H132" s="16" t="s">
        <v>14</v>
      </c>
      <c r="I132" s="62">
        <v>1.4999999999999999E-2</v>
      </c>
      <c r="J132" s="71">
        <f t="shared" ref="J132" si="102">I132*G132</f>
        <v>9.1761390000000009</v>
      </c>
      <c r="K132" s="23">
        <v>52</v>
      </c>
      <c r="L132" s="23">
        <f t="shared" ref="L132" si="103">K132*J132</f>
        <v>477.15922800000004</v>
      </c>
      <c r="M132" s="23">
        <v>0.9</v>
      </c>
      <c r="N132" s="23">
        <f t="shared" ref="N132" si="104">M132*G132</f>
        <v>550.56834000000003</v>
      </c>
      <c r="O132" s="23">
        <f t="shared" ref="O132" si="105">L132+N132</f>
        <v>1027.727568</v>
      </c>
      <c r="P132" s="46"/>
    </row>
    <row r="133" spans="1:16" x14ac:dyDescent="0.25">
      <c r="A133" s="60" t="str">
        <f>IF(G133&lt;&gt;"",1+MAX($A$13:A132),"")</f>
        <v/>
      </c>
      <c r="D133" s="59"/>
      <c r="I133" s="62"/>
      <c r="J133" s="71"/>
      <c r="P133" s="46"/>
    </row>
    <row r="134" spans="1:16" x14ac:dyDescent="0.25">
      <c r="A134" s="60">
        <f>IF(G134&lt;&gt;"",1+MAX($A$13:A133),"")</f>
        <v>83</v>
      </c>
      <c r="C134" s="16" t="s">
        <v>63</v>
      </c>
      <c r="D134" s="59" t="s">
        <v>435</v>
      </c>
      <c r="E134" s="71">
        <f>6.05*0.83*2.583/27</f>
        <v>0.48039016666666662</v>
      </c>
      <c r="F134" s="39">
        <f>VLOOKUP(H134,'[1]PROJECT SUMMARY'!$C$26:$D$32,2,0)</f>
        <v>0.05</v>
      </c>
      <c r="G134" s="31">
        <f t="shared" si="101"/>
        <v>0.504409675</v>
      </c>
      <c r="H134" s="16" t="s">
        <v>16</v>
      </c>
      <c r="I134" s="62">
        <v>3</v>
      </c>
      <c r="J134" s="71">
        <f>I134*G134</f>
        <v>1.513229025</v>
      </c>
      <c r="K134" s="23">
        <v>52</v>
      </c>
      <c r="L134" s="23">
        <f>K134*J134</f>
        <v>78.687909300000001</v>
      </c>
      <c r="M134" s="23">
        <v>185</v>
      </c>
      <c r="N134" s="23">
        <f>M134*G134</f>
        <v>93.315789875000007</v>
      </c>
      <c r="O134" s="23">
        <f>L134+N134</f>
        <v>172.00369917500001</v>
      </c>
      <c r="P134" s="46"/>
    </row>
    <row r="135" spans="1:16" x14ac:dyDescent="0.25">
      <c r="A135" s="60">
        <f>IF(G135&lt;&gt;"",1+MAX($A$13:A134),"")</f>
        <v>84</v>
      </c>
      <c r="C135" s="16" t="s">
        <v>63</v>
      </c>
      <c r="D135" s="59" t="s">
        <v>160</v>
      </c>
      <c r="E135" s="31">
        <f>12*6.05*1.502</f>
        <v>109.04519999999999</v>
      </c>
      <c r="F135" s="39">
        <f>VLOOKUP(H135,'[1]PROJECT SUMMARY'!$C$26:$D$32,2,0)</f>
        <v>0.05</v>
      </c>
      <c r="G135" s="31">
        <f t="shared" si="101"/>
        <v>114.49746</v>
      </c>
      <c r="H135" s="16" t="s">
        <v>14</v>
      </c>
      <c r="I135" s="62">
        <v>1.4999999999999999E-2</v>
      </c>
      <c r="J135" s="71">
        <f t="shared" ref="J135:J137" si="106">I135*G135</f>
        <v>1.7174619</v>
      </c>
      <c r="K135" s="23">
        <v>52</v>
      </c>
      <c r="L135" s="23">
        <f t="shared" ref="L135:L137" si="107">K135*J135</f>
        <v>89.308018799999999</v>
      </c>
      <c r="M135" s="23">
        <v>0.9</v>
      </c>
      <c r="N135" s="23">
        <f t="shared" ref="N135:N137" si="108">M135*G135</f>
        <v>103.047714</v>
      </c>
      <c r="O135" s="23">
        <f t="shared" ref="O135:O137" si="109">L135+N135</f>
        <v>192.3557328</v>
      </c>
      <c r="P135" s="46"/>
    </row>
    <row r="136" spans="1:16" x14ac:dyDescent="0.25">
      <c r="A136" s="60">
        <f>IF(G136&lt;&gt;"",1+MAX($A$13:A135),"")</f>
        <v>85</v>
      </c>
      <c r="C136" s="16" t="s">
        <v>63</v>
      </c>
      <c r="D136" s="59" t="s">
        <v>161</v>
      </c>
      <c r="E136" s="31">
        <f>4*6.05*1.043</f>
        <v>25.240599999999997</v>
      </c>
      <c r="F136" s="39">
        <f>VLOOKUP(H136,'[1]PROJECT SUMMARY'!$C$26:$D$32,2,0)</f>
        <v>0.05</v>
      </c>
      <c r="G136" s="31">
        <f t="shared" si="101"/>
        <v>26.502629999999996</v>
      </c>
      <c r="H136" s="16" t="s">
        <v>14</v>
      </c>
      <c r="I136" s="62">
        <v>1.4999999999999999E-2</v>
      </c>
      <c r="J136" s="71">
        <f t="shared" si="106"/>
        <v>0.39753944999999991</v>
      </c>
      <c r="K136" s="23">
        <v>52</v>
      </c>
      <c r="L136" s="23">
        <f t="shared" si="107"/>
        <v>20.672051399999994</v>
      </c>
      <c r="M136" s="23">
        <v>0.9</v>
      </c>
      <c r="N136" s="23">
        <f t="shared" si="108"/>
        <v>23.852366999999997</v>
      </c>
      <c r="O136" s="23">
        <f t="shared" si="109"/>
        <v>44.524418399999988</v>
      </c>
      <c r="P136" s="46"/>
    </row>
    <row r="137" spans="1:16" x14ac:dyDescent="0.25">
      <c r="A137" s="60">
        <f>IF(G137&lt;&gt;"",1+MAX($A$13:A136),"")</f>
        <v>86</v>
      </c>
      <c r="C137" s="16" t="s">
        <v>63</v>
      </c>
      <c r="D137" s="59" t="s">
        <v>158</v>
      </c>
      <c r="E137" s="31">
        <f>6.05*6.5*0.376</f>
        <v>14.786199999999999</v>
      </c>
      <c r="F137" s="39">
        <f>VLOOKUP(H137,'[1]PROJECT SUMMARY'!$C$26:$D$32,2,0)</f>
        <v>0.05</v>
      </c>
      <c r="G137" s="31">
        <f t="shared" si="101"/>
        <v>15.525510000000001</v>
      </c>
      <c r="H137" s="16" t="s">
        <v>14</v>
      </c>
      <c r="I137" s="62">
        <v>1.4999999999999999E-2</v>
      </c>
      <c r="J137" s="71">
        <f t="shared" si="106"/>
        <v>0.23288265</v>
      </c>
      <c r="K137" s="23">
        <v>52</v>
      </c>
      <c r="L137" s="23">
        <f t="shared" si="107"/>
        <v>12.109897800000001</v>
      </c>
      <c r="M137" s="23">
        <v>0.9</v>
      </c>
      <c r="N137" s="23">
        <f t="shared" si="108"/>
        <v>13.972959000000001</v>
      </c>
      <c r="O137" s="23">
        <f t="shared" si="109"/>
        <v>26.082856800000002</v>
      </c>
      <c r="P137" s="46"/>
    </row>
    <row r="138" spans="1:16" x14ac:dyDescent="0.25">
      <c r="A138" s="60" t="str">
        <f>IF(G138&lt;&gt;"",1+MAX($A$13:A137),"")</f>
        <v/>
      </c>
      <c r="D138" s="59"/>
      <c r="I138" s="62"/>
      <c r="J138" s="71"/>
      <c r="P138" s="46"/>
    </row>
    <row r="139" spans="1:16" x14ac:dyDescent="0.25">
      <c r="A139" s="60">
        <f>IF(G139&lt;&gt;"",1+MAX($A$13:A138),"")</f>
        <v>87</v>
      </c>
      <c r="C139" s="16" t="s">
        <v>63</v>
      </c>
      <c r="D139" s="59" t="s">
        <v>436</v>
      </c>
      <c r="E139" s="31">
        <f>14.65*0.83*6.4167/27</f>
        <v>2.8897727277777778</v>
      </c>
      <c r="F139" s="39">
        <f>VLOOKUP(H139,'[1]PROJECT SUMMARY'!$C$26:$D$32,2,0)</f>
        <v>0.05</v>
      </c>
      <c r="G139" s="31">
        <f t="shared" si="101"/>
        <v>3.0342613641666669</v>
      </c>
      <c r="H139" s="16" t="s">
        <v>16</v>
      </c>
      <c r="I139" s="62">
        <v>3</v>
      </c>
      <c r="J139" s="71">
        <f>I139*G139</f>
        <v>9.1027840925000003</v>
      </c>
      <c r="K139" s="23">
        <v>52</v>
      </c>
      <c r="L139" s="23">
        <f>K139*J139</f>
        <v>473.34477280999999</v>
      </c>
      <c r="M139" s="23">
        <v>185</v>
      </c>
      <c r="N139" s="23">
        <f>M139*G139</f>
        <v>561.33835237083338</v>
      </c>
      <c r="O139" s="23">
        <f>L139+N139</f>
        <v>1034.6831251808335</v>
      </c>
      <c r="P139" s="46"/>
    </row>
    <row r="140" spans="1:16" x14ac:dyDescent="0.25">
      <c r="A140" s="60">
        <f>IF(G140&lt;&gt;"",1+MAX($A$13:A139),"")</f>
        <v>88</v>
      </c>
      <c r="C140" s="16" t="s">
        <v>63</v>
      </c>
      <c r="D140" s="59" t="s">
        <v>139</v>
      </c>
      <c r="E140" s="31">
        <f>14.65*3*1.043</f>
        <v>45.839849999999998</v>
      </c>
      <c r="F140" s="39">
        <f>VLOOKUP(H140,'[1]PROJECT SUMMARY'!$C$26:$D$32,2,0)</f>
        <v>0.05</v>
      </c>
      <c r="G140" s="31">
        <f t="shared" si="101"/>
        <v>48.131842499999998</v>
      </c>
      <c r="H140" s="16" t="s">
        <v>14</v>
      </c>
      <c r="I140" s="62">
        <v>1.4999999999999999E-2</v>
      </c>
      <c r="J140" s="71">
        <f t="shared" ref="J140:J142" si="110">I140*G140</f>
        <v>0.72197763749999999</v>
      </c>
      <c r="K140" s="23">
        <v>52</v>
      </c>
      <c r="L140" s="23">
        <f t="shared" ref="L140:L142" si="111">K140*J140</f>
        <v>37.542837149999997</v>
      </c>
      <c r="M140" s="23">
        <v>0.9</v>
      </c>
      <c r="N140" s="23">
        <f t="shared" ref="N140:N142" si="112">M140*G140</f>
        <v>43.318658249999999</v>
      </c>
      <c r="O140" s="23">
        <f t="shared" ref="O140:O142" si="113">L140+N140</f>
        <v>80.861495399999995</v>
      </c>
      <c r="P140" s="46"/>
    </row>
    <row r="141" spans="1:16" x14ac:dyDescent="0.25">
      <c r="A141" s="60">
        <f>IF(G141&lt;&gt;"",1+MAX($A$13:A140),"")</f>
        <v>89</v>
      </c>
      <c r="C141" s="16" t="s">
        <v>63</v>
      </c>
      <c r="D141" s="59" t="s">
        <v>437</v>
      </c>
      <c r="E141" s="31">
        <f>14.65*6.4167/1*2*1.043</f>
        <v>196.09371032999999</v>
      </c>
      <c r="F141" s="39">
        <f>VLOOKUP(H141,'[1]PROJECT SUMMARY'!$C$26:$D$32,2,0)</f>
        <v>0.05</v>
      </c>
      <c r="G141" s="31">
        <f t="shared" si="101"/>
        <v>205.89839584649999</v>
      </c>
      <c r="H141" s="16" t="s">
        <v>14</v>
      </c>
      <c r="I141" s="62">
        <v>1.4999999999999999E-2</v>
      </c>
      <c r="J141" s="71">
        <f t="shared" si="110"/>
        <v>3.0884759376975</v>
      </c>
      <c r="K141" s="23">
        <v>52</v>
      </c>
      <c r="L141" s="23">
        <f t="shared" si="111"/>
        <v>160.60074876026999</v>
      </c>
      <c r="M141" s="23">
        <v>0.9</v>
      </c>
      <c r="N141" s="23">
        <f t="shared" si="112"/>
        <v>185.30855626184999</v>
      </c>
      <c r="O141" s="23">
        <f t="shared" si="113"/>
        <v>345.90930502211995</v>
      </c>
      <c r="P141" s="46"/>
    </row>
    <row r="142" spans="1:16" x14ac:dyDescent="0.25">
      <c r="A142" s="60">
        <f>IF(G142&lt;&gt;"",1+MAX($A$13:A141),"")</f>
        <v>90</v>
      </c>
      <c r="C142" s="16" t="s">
        <v>63</v>
      </c>
      <c r="D142" s="59" t="s">
        <v>438</v>
      </c>
      <c r="E142" s="31">
        <f>14.65/1*5*0.376</f>
        <v>27.542000000000002</v>
      </c>
      <c r="F142" s="39">
        <f>VLOOKUP(H142,'[1]PROJECT SUMMARY'!$C$26:$D$32,2,0)</f>
        <v>0.05</v>
      </c>
      <c r="G142" s="31">
        <f t="shared" si="101"/>
        <v>28.919100000000004</v>
      </c>
      <c r="H142" s="16" t="s">
        <v>14</v>
      </c>
      <c r="I142" s="62">
        <v>1.4999999999999999E-2</v>
      </c>
      <c r="J142" s="71">
        <f t="shared" si="110"/>
        <v>0.43378650000000002</v>
      </c>
      <c r="K142" s="23">
        <v>52</v>
      </c>
      <c r="L142" s="23">
        <f t="shared" si="111"/>
        <v>22.556898</v>
      </c>
      <c r="M142" s="23">
        <v>0.9</v>
      </c>
      <c r="N142" s="23">
        <f t="shared" si="112"/>
        <v>26.027190000000004</v>
      </c>
      <c r="O142" s="23">
        <f t="shared" si="113"/>
        <v>48.584088000000008</v>
      </c>
      <c r="P142" s="46"/>
    </row>
    <row r="143" spans="1:16" x14ac:dyDescent="0.25">
      <c r="A143" s="60" t="str">
        <f>IF(G143&lt;&gt;"",1+MAX($A$13:A142),"")</f>
        <v/>
      </c>
      <c r="D143" s="59"/>
      <c r="I143" s="62"/>
      <c r="J143" s="71"/>
      <c r="P143" s="46"/>
    </row>
    <row r="144" spans="1:16" x14ac:dyDescent="0.25">
      <c r="A144" s="60">
        <f>IF(G144&lt;&gt;"",1+MAX($A$13:A143),"")</f>
        <v>91</v>
      </c>
      <c r="C144" s="16" t="s">
        <v>63</v>
      </c>
      <c r="D144" s="59" t="s">
        <v>439</v>
      </c>
      <c r="E144" s="31">
        <f>54.22*0.67*2.33/27</f>
        <v>3.1349200740740746</v>
      </c>
      <c r="F144" s="39">
        <f>VLOOKUP(H144,'[1]PROJECT SUMMARY'!$C$26:$D$32,2,0)</f>
        <v>0.05</v>
      </c>
      <c r="G144" s="31">
        <f t="shared" si="101"/>
        <v>3.2916660777777786</v>
      </c>
      <c r="H144" s="16" t="s">
        <v>16</v>
      </c>
      <c r="I144" s="62">
        <v>3</v>
      </c>
      <c r="J144" s="71">
        <f>I144*G144</f>
        <v>9.8749982333333364</v>
      </c>
      <c r="K144" s="23">
        <v>52</v>
      </c>
      <c r="L144" s="23">
        <f>K144*J144</f>
        <v>513.49990813333352</v>
      </c>
      <c r="M144" s="23">
        <v>185</v>
      </c>
      <c r="N144" s="23">
        <f>M144*G144</f>
        <v>608.95822438888899</v>
      </c>
      <c r="O144" s="23">
        <f>L144+N144</f>
        <v>1122.4581325222225</v>
      </c>
      <c r="P144" s="46"/>
    </row>
    <row r="145" spans="1:16" x14ac:dyDescent="0.25">
      <c r="A145" s="60">
        <f>IF(G145&lt;&gt;"",1+MAX($A$13:A144),"")</f>
        <v>92</v>
      </c>
      <c r="C145" s="16" t="s">
        <v>63</v>
      </c>
      <c r="D145" s="59" t="s">
        <v>139</v>
      </c>
      <c r="E145" s="31">
        <f>54.22*3*1.043</f>
        <v>169.65437999999997</v>
      </c>
      <c r="F145" s="39">
        <f>VLOOKUP(H145,'[1]PROJECT SUMMARY'!$C$26:$D$32,2,0)</f>
        <v>0.05</v>
      </c>
      <c r="G145" s="31">
        <f t="shared" si="101"/>
        <v>178.13709899999998</v>
      </c>
      <c r="H145" s="16" t="s">
        <v>14</v>
      </c>
      <c r="I145" s="62">
        <v>1.4999999999999999E-2</v>
      </c>
      <c r="J145" s="71">
        <f t="shared" ref="J145:J146" si="114">I145*G145</f>
        <v>2.6720564849999997</v>
      </c>
      <c r="K145" s="23">
        <v>52</v>
      </c>
      <c r="L145" s="23">
        <f t="shared" ref="L145:L146" si="115">K145*J145</f>
        <v>138.94693722</v>
      </c>
      <c r="M145" s="23">
        <v>0.9</v>
      </c>
      <c r="N145" s="23">
        <f t="shared" ref="N145:N146" si="116">M145*G145</f>
        <v>160.32338909999999</v>
      </c>
      <c r="O145" s="23">
        <f t="shared" ref="O145:O146" si="117">L145+N145</f>
        <v>299.27032631999998</v>
      </c>
      <c r="P145" s="46"/>
    </row>
    <row r="146" spans="1:16" x14ac:dyDescent="0.25">
      <c r="A146" s="60">
        <f>IF(G146&lt;&gt;"",1+MAX($A$13:A145),"")</f>
        <v>93</v>
      </c>
      <c r="C146" s="16" t="s">
        <v>63</v>
      </c>
      <c r="D146" s="59" t="s">
        <v>438</v>
      </c>
      <c r="E146" s="31">
        <f>54.22/1*5*0.376</f>
        <v>101.93360000000001</v>
      </c>
      <c r="F146" s="39">
        <f>VLOOKUP(H146,'[1]PROJECT SUMMARY'!$C$26:$D$32,2,0)</f>
        <v>0.05</v>
      </c>
      <c r="G146" s="31">
        <f t="shared" si="101"/>
        <v>107.03028000000002</v>
      </c>
      <c r="H146" s="16" t="s">
        <v>14</v>
      </c>
      <c r="I146" s="62">
        <v>1.4999999999999999E-2</v>
      </c>
      <c r="J146" s="71">
        <f t="shared" si="114"/>
        <v>1.6054542000000003</v>
      </c>
      <c r="K146" s="23">
        <v>52</v>
      </c>
      <c r="L146" s="23">
        <f t="shared" si="115"/>
        <v>83.483618400000012</v>
      </c>
      <c r="M146" s="23">
        <v>0.9</v>
      </c>
      <c r="N146" s="23">
        <f t="shared" si="116"/>
        <v>96.327252000000016</v>
      </c>
      <c r="O146" s="23">
        <f t="shared" si="117"/>
        <v>179.81087040000003</v>
      </c>
      <c r="P146" s="46"/>
    </row>
    <row r="147" spans="1:16" x14ac:dyDescent="0.25">
      <c r="A147" s="60" t="str">
        <f>IF(G147&lt;&gt;"",1+MAX($A$13:A146),"")</f>
        <v/>
      </c>
      <c r="D147" s="59"/>
      <c r="I147" s="62"/>
      <c r="J147" s="71"/>
      <c r="P147" s="46"/>
    </row>
    <row r="148" spans="1:16" x14ac:dyDescent="0.25">
      <c r="A148" s="60">
        <f>IF(G148&lt;&gt;"",1+MAX($A$13:A147),"")</f>
        <v>94</v>
      </c>
      <c r="C148" s="16" t="s">
        <v>63</v>
      </c>
      <c r="D148" s="59" t="s">
        <v>440</v>
      </c>
      <c r="E148" s="31">
        <f>6.48*0.83*2.67/27</f>
        <v>0.531864</v>
      </c>
      <c r="F148" s="39">
        <f>VLOOKUP(H148,'[1]PROJECT SUMMARY'!$C$26:$D$32,2,0)</f>
        <v>0.05</v>
      </c>
      <c r="G148" s="31">
        <f t="shared" si="101"/>
        <v>0.55845719999999999</v>
      </c>
      <c r="H148" s="16" t="s">
        <v>16</v>
      </c>
      <c r="I148" s="62">
        <v>3</v>
      </c>
      <c r="J148" s="71">
        <f>I148*G148</f>
        <v>1.6753716000000001</v>
      </c>
      <c r="K148" s="23">
        <v>52</v>
      </c>
      <c r="L148" s="23">
        <f>K148*J148</f>
        <v>87.119323199999997</v>
      </c>
      <c r="M148" s="23">
        <v>185</v>
      </c>
      <c r="N148" s="23">
        <f>M148*G148</f>
        <v>103.314582</v>
      </c>
      <c r="O148" s="23">
        <f>L148+N148</f>
        <v>190.4339052</v>
      </c>
      <c r="P148" s="46"/>
    </row>
    <row r="149" spans="1:16" x14ac:dyDescent="0.25">
      <c r="A149" s="60">
        <f>IF(G149&lt;&gt;"",1+MAX($A$13:A148),"")</f>
        <v>95</v>
      </c>
      <c r="C149" s="16" t="s">
        <v>63</v>
      </c>
      <c r="D149" s="59" t="s">
        <v>106</v>
      </c>
      <c r="E149" s="31">
        <f>6.48*3*1.043</f>
        <v>20.275919999999999</v>
      </c>
      <c r="F149" s="39">
        <f>VLOOKUP(H149,'[1]PROJECT SUMMARY'!$C$26:$D$32,2,0)</f>
        <v>0.05</v>
      </c>
      <c r="G149" s="31">
        <f t="shared" si="101"/>
        <v>21.289715999999999</v>
      </c>
      <c r="H149" s="16" t="s">
        <v>14</v>
      </c>
      <c r="I149" s="62">
        <v>1.4999999999999999E-2</v>
      </c>
      <c r="J149" s="71">
        <f t="shared" ref="J149" si="118">I149*G149</f>
        <v>0.31934573999999999</v>
      </c>
      <c r="K149" s="23">
        <v>52</v>
      </c>
      <c r="L149" s="23">
        <f t="shared" ref="L149" si="119">K149*J149</f>
        <v>16.605978480000001</v>
      </c>
      <c r="M149" s="23">
        <v>0.9</v>
      </c>
      <c r="N149" s="23">
        <f t="shared" ref="N149" si="120">M149*G149</f>
        <v>19.160744399999999</v>
      </c>
      <c r="O149" s="23">
        <f t="shared" ref="O149" si="121">L149+N149</f>
        <v>35.766722880000003</v>
      </c>
      <c r="P149" s="46"/>
    </row>
    <row r="150" spans="1:16" x14ac:dyDescent="0.25">
      <c r="A150" s="60" t="str">
        <f>IF(G150&lt;&gt;"",1+MAX($A$13:A149),"")</f>
        <v/>
      </c>
      <c r="D150" s="59"/>
      <c r="I150" s="62"/>
      <c r="J150" s="71"/>
      <c r="P150" s="46"/>
    </row>
    <row r="151" spans="1:16" x14ac:dyDescent="0.25">
      <c r="A151" s="60">
        <f>IF(G151&lt;&gt;"",1+MAX($A$13:A150),"")</f>
        <v>96</v>
      </c>
      <c r="C151" s="16" t="s">
        <v>63</v>
      </c>
      <c r="D151" s="59" t="s">
        <v>441</v>
      </c>
      <c r="E151" s="71">
        <f>5*2*0.83/27</f>
        <v>0.30740740740740735</v>
      </c>
      <c r="F151" s="39">
        <f>VLOOKUP(H151,'[1]PROJECT SUMMARY'!$C$26:$D$32,2,0)</f>
        <v>0.05</v>
      </c>
      <c r="G151" s="31">
        <f t="shared" ref="G151:G153" si="122">E151*(1+F151)</f>
        <v>0.32277777777777772</v>
      </c>
      <c r="H151" s="16" t="s">
        <v>14</v>
      </c>
      <c r="I151" s="62">
        <v>1.4999999999999999E-2</v>
      </c>
      <c r="J151" s="71">
        <f t="shared" ref="J151:J153" si="123">I151*G151</f>
        <v>4.841666666666666E-3</v>
      </c>
      <c r="K151" s="23">
        <v>52</v>
      </c>
      <c r="L151" s="23">
        <f t="shared" ref="L151:L153" si="124">K151*J151</f>
        <v>0.25176666666666664</v>
      </c>
      <c r="M151" s="23">
        <v>0.9</v>
      </c>
      <c r="N151" s="23">
        <f t="shared" ref="N151:N153" si="125">M151*G151</f>
        <v>0.29049999999999998</v>
      </c>
      <c r="O151" s="23">
        <f t="shared" ref="O151:O153" si="126">L151+N151</f>
        <v>0.54226666666666667</v>
      </c>
      <c r="P151" s="46"/>
    </row>
    <row r="152" spans="1:16" x14ac:dyDescent="0.25">
      <c r="A152" s="60">
        <f>IF(G152&lt;&gt;"",1+MAX($A$13:A151),"")</f>
        <v>97</v>
      </c>
      <c r="C152" s="16" t="s">
        <v>63</v>
      </c>
      <c r="D152" s="59" t="s">
        <v>442</v>
      </c>
      <c r="E152" s="31">
        <f>5*9.5*8*1.502</f>
        <v>570.76</v>
      </c>
      <c r="F152" s="39">
        <f>VLOOKUP(H152,'[1]PROJECT SUMMARY'!$C$26:$D$32,2,0)</f>
        <v>0.05</v>
      </c>
      <c r="G152" s="31">
        <f t="shared" si="122"/>
        <v>599.298</v>
      </c>
      <c r="H152" s="16" t="s">
        <v>14</v>
      </c>
      <c r="I152" s="62">
        <v>1.4999999999999999E-2</v>
      </c>
      <c r="J152" s="71">
        <f t="shared" si="123"/>
        <v>8.989469999999999</v>
      </c>
      <c r="K152" s="23">
        <v>52</v>
      </c>
      <c r="L152" s="23">
        <f t="shared" si="124"/>
        <v>467.45243999999997</v>
      </c>
      <c r="M152" s="23">
        <v>0.9</v>
      </c>
      <c r="N152" s="23">
        <f t="shared" si="125"/>
        <v>539.3682</v>
      </c>
      <c r="O152" s="23">
        <f t="shared" si="126"/>
        <v>1006.8206399999999</v>
      </c>
      <c r="P152" s="46"/>
    </row>
    <row r="153" spans="1:16" x14ac:dyDescent="0.25">
      <c r="A153" s="60">
        <f>IF(G153&lt;&gt;"",1+MAX($A$13:A152),"")</f>
        <v>98</v>
      </c>
      <c r="C153" s="16" t="s">
        <v>63</v>
      </c>
      <c r="D153" s="59" t="s">
        <v>146</v>
      </c>
      <c r="E153" s="31">
        <f>9.5/1*5*5.67*0.376</f>
        <v>101.2662</v>
      </c>
      <c r="F153" s="39">
        <f>VLOOKUP(H153,'[1]PROJECT SUMMARY'!$C$26:$D$32,2,0)</f>
        <v>0.05</v>
      </c>
      <c r="G153" s="31">
        <f t="shared" si="122"/>
        <v>106.32951</v>
      </c>
      <c r="H153" s="16" t="s">
        <v>14</v>
      </c>
      <c r="I153" s="62">
        <v>1.4999999999999999E-2</v>
      </c>
      <c r="J153" s="71">
        <f t="shared" si="123"/>
        <v>1.5949426499999999</v>
      </c>
      <c r="K153" s="23">
        <v>52</v>
      </c>
      <c r="L153" s="23">
        <f t="shared" si="124"/>
        <v>82.937017799999992</v>
      </c>
      <c r="M153" s="23">
        <v>0.9</v>
      </c>
      <c r="N153" s="23">
        <f t="shared" si="125"/>
        <v>95.696559000000008</v>
      </c>
      <c r="O153" s="23">
        <f t="shared" si="126"/>
        <v>178.63357680000001</v>
      </c>
      <c r="P153" s="46"/>
    </row>
    <row r="154" spans="1:16" x14ac:dyDescent="0.25">
      <c r="A154" s="60" t="str">
        <f>IF(G154&lt;&gt;"",1+MAX($A$13:A153),"")</f>
        <v/>
      </c>
      <c r="P154" s="46"/>
    </row>
    <row r="155" spans="1:16" x14ac:dyDescent="0.25">
      <c r="A155" s="60" t="str">
        <f>IF(G155&lt;&gt;"",1+MAX($A$13:A154),"")</f>
        <v/>
      </c>
      <c r="D155" s="58" t="s">
        <v>109</v>
      </c>
      <c r="J155" s="71"/>
      <c r="P155" s="46"/>
    </row>
    <row r="156" spans="1:16" x14ac:dyDescent="0.25">
      <c r="A156" s="60">
        <f>IF(G156&lt;&gt;"",1+MAX($A$13:A155),"")</f>
        <v>99</v>
      </c>
      <c r="C156" s="16" t="s">
        <v>63</v>
      </c>
      <c r="D156" s="59" t="s">
        <v>170</v>
      </c>
      <c r="E156" s="31">
        <v>9112</v>
      </c>
      <c r="F156" s="39">
        <f>VLOOKUP(H156,'PROJECT SUMMARY'!$C$26:$D$32,2,0)</f>
        <v>0.05</v>
      </c>
      <c r="G156" s="31">
        <f t="shared" si="30"/>
        <v>9567.6</v>
      </c>
      <c r="H156" s="16" t="s">
        <v>12</v>
      </c>
      <c r="I156" s="62">
        <v>0.02</v>
      </c>
      <c r="J156" s="71">
        <f t="shared" ref="J156" si="127">I156*G156</f>
        <v>191.352</v>
      </c>
      <c r="K156" s="23">
        <v>52</v>
      </c>
      <c r="L156" s="23">
        <f t="shared" ref="L156" si="128">K156*J156</f>
        <v>9950.3040000000001</v>
      </c>
      <c r="N156" s="23">
        <f t="shared" si="59"/>
        <v>0</v>
      </c>
      <c r="O156" s="23">
        <f t="shared" si="60"/>
        <v>9950.3040000000001</v>
      </c>
      <c r="P156" s="46"/>
    </row>
    <row r="157" spans="1:16" x14ac:dyDescent="0.25">
      <c r="A157" s="60">
        <f>IF(G157&lt;&gt;"",1+MAX($A$13:A156),"")</f>
        <v>100</v>
      </c>
      <c r="C157" s="16" t="s">
        <v>63</v>
      </c>
      <c r="D157" s="59" t="s">
        <v>221</v>
      </c>
      <c r="E157" s="31">
        <f>2*225</f>
        <v>450</v>
      </c>
      <c r="F157" s="39">
        <f>VLOOKUP(H157,'PROJECT SUMMARY'!$C$26:$D$32,2,0)</f>
        <v>0.05</v>
      </c>
      <c r="G157" s="31">
        <f t="shared" ref="G157" si="129">E157*(1+F157)</f>
        <v>472.5</v>
      </c>
      <c r="H157" s="16" t="s">
        <v>12</v>
      </c>
      <c r="I157" s="62">
        <v>1.4999999999999999E-2</v>
      </c>
      <c r="J157" s="71">
        <f t="shared" ref="J157" si="130">I157*G157</f>
        <v>7.0874999999999995</v>
      </c>
      <c r="K157" s="23">
        <v>52</v>
      </c>
      <c r="L157" s="23">
        <f t="shared" ref="L157" si="131">K157*J157</f>
        <v>368.54999999999995</v>
      </c>
      <c r="M157" s="23">
        <v>1.5596749999999999</v>
      </c>
      <c r="N157" s="23">
        <f t="shared" ref="N157" si="132">M157*G157</f>
        <v>736.9464375</v>
      </c>
      <c r="O157" s="23">
        <f t="shared" ref="O157" si="133">L157+N157</f>
        <v>1105.4964375</v>
      </c>
      <c r="P157" s="46"/>
    </row>
    <row r="158" spans="1:16" x14ac:dyDescent="0.25">
      <c r="A158" s="60">
        <f>IF(G158&lt;&gt;"",1+MAX($A$13:A157),"")</f>
        <v>101</v>
      </c>
      <c r="C158" s="16" t="s">
        <v>63</v>
      </c>
      <c r="D158" s="59" t="s">
        <v>222</v>
      </c>
      <c r="E158" s="31">
        <f>3*225</f>
        <v>675</v>
      </c>
      <c r="F158" s="39">
        <f>VLOOKUP(H158,'PROJECT SUMMARY'!$C$26:$D$32,2,0)</f>
        <v>0.05</v>
      </c>
      <c r="G158" s="31">
        <f t="shared" ref="G158" si="134">E158*(1+F158)</f>
        <v>708.75</v>
      </c>
      <c r="H158" s="16" t="s">
        <v>12</v>
      </c>
      <c r="I158" s="62">
        <v>0.02</v>
      </c>
      <c r="J158" s="71">
        <f t="shared" ref="J158" si="135">I158*G158</f>
        <v>14.175000000000001</v>
      </c>
      <c r="K158" s="23">
        <v>52</v>
      </c>
      <c r="L158" s="23">
        <f t="shared" ref="L158" si="136">K158*J158</f>
        <v>737.1</v>
      </c>
      <c r="M158" s="23">
        <v>2.6</v>
      </c>
      <c r="N158" s="23">
        <f t="shared" ref="N158" si="137">M158*G158</f>
        <v>1842.75</v>
      </c>
      <c r="O158" s="23">
        <f t="shared" ref="O158" si="138">L158+N158</f>
        <v>2579.85</v>
      </c>
      <c r="P158" s="46"/>
    </row>
    <row r="159" spans="1:16" x14ac:dyDescent="0.25">
      <c r="A159" s="60">
        <f>IF(G159&lt;&gt;"",1+MAX($A$13:A158),"")</f>
        <v>102</v>
      </c>
      <c r="C159" s="16" t="s">
        <v>63</v>
      </c>
      <c r="D159" s="59" t="s">
        <v>223</v>
      </c>
      <c r="E159" s="31">
        <f>225*PI()*0.25*0.25/27</f>
        <v>1.6362461737446838</v>
      </c>
      <c r="F159" s="39">
        <f>VLOOKUP(H159,'PROJECT SUMMARY'!$C$26:$D$32,2,0)</f>
        <v>0.05</v>
      </c>
      <c r="G159" s="31">
        <f t="shared" ref="G159" si="139">E159*(1+F159)</f>
        <v>1.7180584824319181</v>
      </c>
      <c r="H159" s="16" t="s">
        <v>16</v>
      </c>
      <c r="I159" s="62">
        <v>3</v>
      </c>
      <c r="J159" s="71">
        <f t="shared" ref="J159" si="140">I159*G159</f>
        <v>5.1541754472957546</v>
      </c>
      <c r="K159" s="23">
        <v>52</v>
      </c>
      <c r="L159" s="23">
        <f t="shared" ref="L159" si="141">K159*J159</f>
        <v>268.01712325937922</v>
      </c>
      <c r="M159" s="23">
        <v>185</v>
      </c>
      <c r="N159" s="23">
        <f t="shared" ref="N159" si="142">M159*G159</f>
        <v>317.84081924990483</v>
      </c>
      <c r="O159" s="23">
        <f t="shared" ref="O159" si="143">L159+N159</f>
        <v>585.85794250928404</v>
      </c>
      <c r="P159" s="46"/>
    </row>
    <row r="160" spans="1:16" x14ac:dyDescent="0.25">
      <c r="A160" s="60" t="str">
        <f>IF(G160&lt;&gt;"",1+MAX($A$13:A159),"")</f>
        <v/>
      </c>
      <c r="D160" s="59"/>
      <c r="I160" s="62"/>
      <c r="J160" s="71"/>
      <c r="P160" s="46"/>
    </row>
    <row r="161" spans="1:16" x14ac:dyDescent="0.25">
      <c r="A161" s="60" t="str">
        <f>IF(G161&lt;&gt;"",1+MAX($A$13:A160),"")</f>
        <v/>
      </c>
      <c r="D161" s="58" t="s">
        <v>66</v>
      </c>
      <c r="I161" s="62"/>
      <c r="J161" s="71"/>
      <c r="P161" s="46"/>
    </row>
    <row r="162" spans="1:16" x14ac:dyDescent="0.25">
      <c r="A162" s="60">
        <f>IF(G162&lt;&gt;"",1+MAX($A$13:A161),"")</f>
        <v>103</v>
      </c>
      <c r="C162" s="16" t="s">
        <v>63</v>
      </c>
      <c r="D162" s="59" t="s">
        <v>67</v>
      </c>
      <c r="E162" s="31">
        <v>374.9</v>
      </c>
      <c r="F162" s="39">
        <f>VLOOKUP(H162,'PROJECT SUMMARY'!$C$26:$D$32,2,0)</f>
        <v>0.05</v>
      </c>
      <c r="G162" s="31">
        <f>E162*(1+F162)</f>
        <v>393.64499999999998</v>
      </c>
      <c r="H162" s="16" t="s">
        <v>16</v>
      </c>
      <c r="I162" s="62">
        <v>0.25</v>
      </c>
      <c r="J162" s="71">
        <f>I162*G162</f>
        <v>98.411249999999995</v>
      </c>
      <c r="K162" s="23">
        <v>52</v>
      </c>
      <c r="L162" s="23">
        <f>K162*J162</f>
        <v>5117.3850000000002</v>
      </c>
      <c r="N162" s="23">
        <f>M162*G162</f>
        <v>0</v>
      </c>
      <c r="O162" s="23">
        <f>L162+N162</f>
        <v>5117.3850000000002</v>
      </c>
      <c r="P162" s="46"/>
    </row>
    <row r="163" spans="1:16" x14ac:dyDescent="0.25">
      <c r="A163" s="60">
        <f>IF(G163&lt;&gt;"",1+MAX($A$13:A162),"")</f>
        <v>104</v>
      </c>
      <c r="C163" s="16" t="s">
        <v>63</v>
      </c>
      <c r="D163" s="59" t="s">
        <v>110</v>
      </c>
      <c r="E163" s="31">
        <f>31495/2000</f>
        <v>15.7475</v>
      </c>
      <c r="F163" s="39">
        <f>VLOOKUP(H163,'PROJECT SUMMARY'!$C$26:$D$32,2,0)</f>
        <v>0.05</v>
      </c>
      <c r="G163" s="31">
        <f>E163*(1+F163)</f>
        <v>16.534875</v>
      </c>
      <c r="H163" s="16" t="s">
        <v>15</v>
      </c>
      <c r="I163" s="62">
        <v>4</v>
      </c>
      <c r="J163" s="71">
        <f>I163*G163</f>
        <v>66.139499999999998</v>
      </c>
      <c r="K163" s="23">
        <v>52</v>
      </c>
      <c r="L163" s="23">
        <f>K163*J163</f>
        <v>3439.2539999999999</v>
      </c>
      <c r="N163" s="23">
        <f>M163*G163</f>
        <v>0</v>
      </c>
      <c r="O163" s="23">
        <f>L163+N163</f>
        <v>3439.2539999999999</v>
      </c>
      <c r="P163" s="46"/>
    </row>
    <row r="164" spans="1:16" x14ac:dyDescent="0.25">
      <c r="A164" s="60">
        <f>IF(G164&lt;&gt;"",1+MAX($A$13:A163),"")</f>
        <v>105</v>
      </c>
      <c r="C164" s="16" t="s">
        <v>63</v>
      </c>
      <c r="D164" s="59" t="s">
        <v>112</v>
      </c>
      <c r="E164" s="31">
        <f>132*1.4</f>
        <v>184.79999999999998</v>
      </c>
      <c r="F164" s="39">
        <f>VLOOKUP(H164,'PROJECT SUMMARY'!$C$26:$D$32,2,0)</f>
        <v>0.05</v>
      </c>
      <c r="G164" s="31">
        <f>E164*(1+F164)</f>
        <v>194.04</v>
      </c>
      <c r="H164" s="16" t="s">
        <v>15</v>
      </c>
      <c r="I164" s="62">
        <v>0.2</v>
      </c>
      <c r="J164" s="71">
        <f>I164*G164</f>
        <v>38.808</v>
      </c>
      <c r="K164" s="23">
        <v>52</v>
      </c>
      <c r="L164" s="23">
        <f>K164*J164</f>
        <v>2018.0160000000001</v>
      </c>
      <c r="N164" s="23">
        <f>M164*G164</f>
        <v>0</v>
      </c>
      <c r="O164" s="23">
        <f>L164+N164</f>
        <v>2018.0160000000001</v>
      </c>
      <c r="P164" s="46"/>
    </row>
    <row r="165" spans="1:16" ht="16.5" thickBot="1" x14ac:dyDescent="0.3">
      <c r="A165" s="60" t="str">
        <f>IF(G165&lt;&gt;"",1+MAX($A$13:A164),"")</f>
        <v/>
      </c>
      <c r="P165" s="46"/>
    </row>
    <row r="166" spans="1:16" ht="16.5" thickBot="1" x14ac:dyDescent="0.3">
      <c r="A166" s="87" t="str">
        <f>IF(G166&lt;&gt;"",1+MAX($A$13:A165),"")</f>
        <v/>
      </c>
      <c r="B166" s="83"/>
      <c r="C166" s="83" t="s">
        <v>42</v>
      </c>
      <c r="D166" s="81" t="s">
        <v>43</v>
      </c>
      <c r="E166" s="85"/>
      <c r="F166" s="86"/>
      <c r="G166" s="85"/>
      <c r="H166" s="85"/>
      <c r="I166" s="81"/>
      <c r="J166" s="81"/>
      <c r="K166" s="82"/>
      <c r="L166" s="82"/>
      <c r="M166" s="82"/>
      <c r="N166" s="82"/>
      <c r="O166" s="84"/>
      <c r="P166" s="88">
        <f>SUM(O167:O205)</f>
        <v>205569.53494129996</v>
      </c>
    </row>
    <row r="167" spans="1:16" x14ac:dyDescent="0.25">
      <c r="A167" s="60" t="str">
        <f>IF(G167&lt;&gt;"",1+MAX($A$13:A166),"")</f>
        <v/>
      </c>
      <c r="P167" s="46"/>
    </row>
    <row r="168" spans="1:16" x14ac:dyDescent="0.25">
      <c r="A168" s="60" t="str">
        <f>IF(G168&lt;&gt;"",1+MAX($A$13:A167),"")</f>
        <v/>
      </c>
      <c r="D168" s="58" t="s">
        <v>171</v>
      </c>
      <c r="I168" s="62"/>
      <c r="J168" s="71"/>
      <c r="P168" s="46"/>
    </row>
    <row r="169" spans="1:16" x14ac:dyDescent="0.25">
      <c r="A169" s="60">
        <f>IF(G169&lt;&gt;"",1+MAX($A$13:A168),"")</f>
        <v>106</v>
      </c>
      <c r="C169" s="16" t="s">
        <v>42</v>
      </c>
      <c r="D169" s="59" t="s">
        <v>172</v>
      </c>
      <c r="E169" s="31">
        <f>96.98*30</f>
        <v>2909.4</v>
      </c>
      <c r="F169" s="39">
        <f>VLOOKUP(H169,'PROJECT SUMMARY'!$C$26:$D$32,2,0)</f>
        <v>0.05</v>
      </c>
      <c r="G169" s="31">
        <f t="shared" ref="G169" si="144">E169*(1+F169)</f>
        <v>3054.8700000000003</v>
      </c>
      <c r="H169" s="16" t="s">
        <v>14</v>
      </c>
      <c r="I169" s="62">
        <v>0.02</v>
      </c>
      <c r="J169" s="71">
        <f t="shared" ref="J169:J173" si="145">I169*G169</f>
        <v>61.097400000000007</v>
      </c>
      <c r="K169" s="23">
        <v>65</v>
      </c>
      <c r="L169" s="23">
        <f t="shared" ref="L169:L173" si="146">K169*J169</f>
        <v>3971.3310000000006</v>
      </c>
      <c r="M169" s="23">
        <v>2.1</v>
      </c>
      <c r="N169" s="23">
        <f t="shared" ref="N169:N188" si="147">M169*G169</f>
        <v>6415.2270000000008</v>
      </c>
      <c r="O169" s="23">
        <f t="shared" ref="O169:O188" si="148">L169+N169</f>
        <v>10386.558000000001</v>
      </c>
      <c r="P169" s="46"/>
    </row>
    <row r="170" spans="1:16" x14ac:dyDescent="0.25">
      <c r="A170" s="60">
        <f>IF(G170&lt;&gt;"",1+MAX($A$13:A169),"")</f>
        <v>107</v>
      </c>
      <c r="C170" s="16" t="s">
        <v>42</v>
      </c>
      <c r="D170" s="59" t="s">
        <v>175</v>
      </c>
      <c r="E170" s="80">
        <f>(75.32+29.06+153.41)*26</f>
        <v>6702.5399999999991</v>
      </c>
      <c r="F170" s="39">
        <f>VLOOKUP(H170,'PROJECT SUMMARY'!$C$26:$D$32,2,0)</f>
        <v>0.05</v>
      </c>
      <c r="G170" s="31">
        <f t="shared" ref="G170:G183" si="149">E170*(1+F170)</f>
        <v>7037.6669999999995</v>
      </c>
      <c r="H170" s="16" t="s">
        <v>14</v>
      </c>
      <c r="I170" s="62">
        <v>0.02</v>
      </c>
      <c r="J170" s="71">
        <f t="shared" si="145"/>
        <v>140.75333999999998</v>
      </c>
      <c r="K170" s="23">
        <v>65</v>
      </c>
      <c r="L170" s="23">
        <f t="shared" si="146"/>
        <v>9148.967099999998</v>
      </c>
      <c r="M170" s="23">
        <v>2.1</v>
      </c>
      <c r="N170" s="23">
        <f t="shared" si="147"/>
        <v>14779.100699999999</v>
      </c>
      <c r="O170" s="23">
        <f t="shared" si="148"/>
        <v>23928.067799999997</v>
      </c>
      <c r="P170" s="46"/>
    </row>
    <row r="171" spans="1:16" x14ac:dyDescent="0.25">
      <c r="A171" s="60">
        <f>IF(G171&lt;&gt;"",1+MAX($A$13:A170),"")</f>
        <v>108</v>
      </c>
      <c r="C171" s="16" t="s">
        <v>42</v>
      </c>
      <c r="D171" s="59" t="s">
        <v>174</v>
      </c>
      <c r="E171" s="31">
        <f>112.83*40</f>
        <v>4513.2</v>
      </c>
      <c r="F171" s="39">
        <f>VLOOKUP(H171,'PROJECT SUMMARY'!$C$26:$D$32,2,0)</f>
        <v>0.05</v>
      </c>
      <c r="G171" s="31">
        <f t="shared" si="149"/>
        <v>4738.8599999999997</v>
      </c>
      <c r="H171" s="16" t="s">
        <v>14</v>
      </c>
      <c r="I171" s="62">
        <v>0.02</v>
      </c>
      <c r="J171" s="71">
        <f t="shared" si="145"/>
        <v>94.777199999999993</v>
      </c>
      <c r="K171" s="23">
        <v>65</v>
      </c>
      <c r="L171" s="23">
        <f t="shared" si="146"/>
        <v>6160.518</v>
      </c>
      <c r="M171" s="23">
        <v>2.1</v>
      </c>
      <c r="N171" s="23">
        <f t="shared" si="147"/>
        <v>9951.6059999999998</v>
      </c>
      <c r="O171" s="23">
        <f t="shared" si="148"/>
        <v>16112.124</v>
      </c>
      <c r="P171" s="46"/>
    </row>
    <row r="172" spans="1:16" x14ac:dyDescent="0.25">
      <c r="A172" s="60">
        <f>IF(G172&lt;&gt;"",1+MAX($A$13:A171),"")</f>
        <v>109</v>
      </c>
      <c r="C172" s="16" t="s">
        <v>42</v>
      </c>
      <c r="D172" s="59" t="s">
        <v>173</v>
      </c>
      <c r="E172" s="31">
        <f>100.47*50</f>
        <v>5023.5</v>
      </c>
      <c r="F172" s="39">
        <f>VLOOKUP(H172,'PROJECT SUMMARY'!$C$26:$D$32,2,0)</f>
        <v>0.05</v>
      </c>
      <c r="G172" s="31">
        <f t="shared" si="149"/>
        <v>5274.6750000000002</v>
      </c>
      <c r="H172" s="16" t="s">
        <v>14</v>
      </c>
      <c r="I172" s="62">
        <v>0.02</v>
      </c>
      <c r="J172" s="71">
        <f t="shared" si="145"/>
        <v>105.49350000000001</v>
      </c>
      <c r="K172" s="23">
        <v>65</v>
      </c>
      <c r="L172" s="23">
        <f t="shared" si="146"/>
        <v>6857.0775000000003</v>
      </c>
      <c r="M172" s="23">
        <v>2.1</v>
      </c>
      <c r="N172" s="23">
        <f t="shared" si="147"/>
        <v>11076.817500000001</v>
      </c>
      <c r="O172" s="23">
        <f t="shared" si="148"/>
        <v>17933.895</v>
      </c>
      <c r="P172" s="46"/>
    </row>
    <row r="173" spans="1:16" x14ac:dyDescent="0.25">
      <c r="A173" s="60">
        <f>IF(G173&lt;&gt;"",1+MAX($A$13:A172),"")</f>
        <v>110</v>
      </c>
      <c r="C173" s="16" t="s">
        <v>42</v>
      </c>
      <c r="D173" s="59" t="s">
        <v>176</v>
      </c>
      <c r="E173" s="80">
        <f>(38.27+168.57)*12.21</f>
        <v>2525.5164000000004</v>
      </c>
      <c r="F173" s="39">
        <f>VLOOKUP(H173,'PROJECT SUMMARY'!$C$26:$D$32,2,0)</f>
        <v>0.05</v>
      </c>
      <c r="G173" s="31">
        <f t="shared" si="149"/>
        <v>2651.7922200000007</v>
      </c>
      <c r="H173" s="16" t="s">
        <v>14</v>
      </c>
      <c r="I173" s="62">
        <v>0.02</v>
      </c>
      <c r="J173" s="71">
        <f t="shared" si="145"/>
        <v>53.035844400000016</v>
      </c>
      <c r="K173" s="23">
        <v>65</v>
      </c>
      <c r="L173" s="23">
        <f t="shared" si="146"/>
        <v>3447.3298860000009</v>
      </c>
      <c r="M173" s="23">
        <v>2.1</v>
      </c>
      <c r="N173" s="23">
        <f t="shared" si="147"/>
        <v>5568.7636620000021</v>
      </c>
      <c r="O173" s="23">
        <f t="shared" si="148"/>
        <v>9016.0935480000026</v>
      </c>
      <c r="P173" s="46"/>
    </row>
    <row r="174" spans="1:16" x14ac:dyDescent="0.25">
      <c r="A174" s="60" t="str">
        <f>IF(G174&lt;&gt;"",1+MAX($A$13:A173),"")</f>
        <v/>
      </c>
      <c r="P174" s="46"/>
    </row>
    <row r="175" spans="1:16" x14ac:dyDescent="0.25">
      <c r="A175" s="60" t="str">
        <f>IF(G175&lt;&gt;"",1+MAX($A$13:A174),"")</f>
        <v/>
      </c>
      <c r="D175" s="58" t="s">
        <v>93</v>
      </c>
      <c r="I175" s="62"/>
      <c r="J175" s="71"/>
      <c r="P175" s="46"/>
    </row>
    <row r="176" spans="1:16" x14ac:dyDescent="0.25">
      <c r="A176" s="60">
        <f>IF(G176&lt;&gt;"",1+MAX($A$13:A175),"")</f>
        <v>111</v>
      </c>
      <c r="C176" s="16" t="s">
        <v>42</v>
      </c>
      <c r="D176" s="59" t="s">
        <v>177</v>
      </c>
      <c r="E176" s="31">
        <f>3*9*12.21</f>
        <v>329.67</v>
      </c>
      <c r="F176" s="39">
        <f>VLOOKUP(H176,'PROJECT SUMMARY'!$C$26:$D$32,2,0)</f>
        <v>0.05</v>
      </c>
      <c r="G176" s="31">
        <f t="shared" si="149"/>
        <v>346.15350000000001</v>
      </c>
      <c r="H176" s="16" t="s">
        <v>14</v>
      </c>
      <c r="I176" s="62">
        <v>0.02</v>
      </c>
      <c r="J176" s="71">
        <f t="shared" ref="J176:J180" si="150">I176*G176</f>
        <v>6.9230700000000001</v>
      </c>
      <c r="K176" s="23">
        <v>65</v>
      </c>
      <c r="L176" s="23">
        <f t="shared" ref="L176:L180" si="151">K176*J176</f>
        <v>449.99955</v>
      </c>
      <c r="M176" s="23">
        <v>2.1</v>
      </c>
      <c r="N176" s="23">
        <f t="shared" si="147"/>
        <v>726.92235000000005</v>
      </c>
      <c r="O176" s="23">
        <f t="shared" si="148"/>
        <v>1176.9219000000001</v>
      </c>
      <c r="P176" s="46"/>
    </row>
    <row r="177" spans="1:16" x14ac:dyDescent="0.25">
      <c r="A177" s="60">
        <f>IF(G177&lt;&gt;"",1+MAX($A$13:A176),"")</f>
        <v>112</v>
      </c>
      <c r="C177" s="16" t="s">
        <v>42</v>
      </c>
      <c r="D177" s="59" t="s">
        <v>185</v>
      </c>
      <c r="E177" s="31">
        <f>(1*9.167*15.37)+(1*8.67*15.37)</f>
        <v>274.15468999999996</v>
      </c>
      <c r="F177" s="39">
        <f>VLOOKUP(H177,'PROJECT SUMMARY'!$C$26:$D$32,2,0)</f>
        <v>0.05</v>
      </c>
      <c r="G177" s="31">
        <f t="shared" si="149"/>
        <v>287.86242449999997</v>
      </c>
      <c r="H177" s="16" t="s">
        <v>14</v>
      </c>
      <c r="I177" s="62">
        <v>0.02</v>
      </c>
      <c r="J177" s="71">
        <f t="shared" si="150"/>
        <v>5.7572484899999994</v>
      </c>
      <c r="K177" s="23">
        <v>65</v>
      </c>
      <c r="L177" s="23">
        <f t="shared" si="151"/>
        <v>374.22115184999996</v>
      </c>
      <c r="M177" s="23">
        <v>2.1</v>
      </c>
      <c r="N177" s="23">
        <f t="shared" si="147"/>
        <v>604.51109144999998</v>
      </c>
      <c r="O177" s="23">
        <f t="shared" si="148"/>
        <v>978.73224329999994</v>
      </c>
      <c r="P177" s="46"/>
    </row>
    <row r="178" spans="1:16" x14ac:dyDescent="0.25">
      <c r="A178" s="60">
        <f>IF(G178&lt;&gt;"",1+MAX($A$13:A177),"")</f>
        <v>113</v>
      </c>
      <c r="C178" s="16" t="s">
        <v>42</v>
      </c>
      <c r="D178" s="59" t="s">
        <v>186</v>
      </c>
      <c r="E178" s="31">
        <f>(33*9*22.55)+(4*9*22.55)</f>
        <v>7509.1500000000005</v>
      </c>
      <c r="F178" s="39">
        <f>VLOOKUP(H178,'PROJECT SUMMARY'!$C$26:$D$32,2,0)</f>
        <v>0.05</v>
      </c>
      <c r="G178" s="31">
        <f t="shared" si="149"/>
        <v>7884.607500000001</v>
      </c>
      <c r="H178" s="16" t="s">
        <v>14</v>
      </c>
      <c r="I178" s="62">
        <v>0.02</v>
      </c>
      <c r="J178" s="71">
        <f t="shared" si="150"/>
        <v>157.69215000000003</v>
      </c>
      <c r="K178" s="23">
        <v>65</v>
      </c>
      <c r="L178" s="23">
        <f t="shared" si="151"/>
        <v>10249.989750000002</v>
      </c>
      <c r="M178" s="23">
        <v>2.1</v>
      </c>
      <c r="N178" s="23">
        <f t="shared" si="147"/>
        <v>16557.675750000002</v>
      </c>
      <c r="O178" s="23">
        <f t="shared" si="148"/>
        <v>26807.665500000003</v>
      </c>
      <c r="P178" s="46"/>
    </row>
    <row r="179" spans="1:16" x14ac:dyDescent="0.25">
      <c r="A179" s="60">
        <f>IF(G179&lt;&gt;"",1+MAX($A$13:A178),"")</f>
        <v>114</v>
      </c>
      <c r="C179" s="16" t="s">
        <v>42</v>
      </c>
      <c r="D179" s="59" t="s">
        <v>187</v>
      </c>
      <c r="E179" s="31">
        <f>3*9*50</f>
        <v>1350</v>
      </c>
      <c r="F179" s="39">
        <f>VLOOKUP(H179,'PROJECT SUMMARY'!$C$26:$D$32,2,0)</f>
        <v>0.05</v>
      </c>
      <c r="G179" s="31">
        <f t="shared" si="149"/>
        <v>1417.5</v>
      </c>
      <c r="H179" s="16" t="s">
        <v>14</v>
      </c>
      <c r="I179" s="62">
        <v>0.02</v>
      </c>
      <c r="J179" s="71">
        <f t="shared" si="150"/>
        <v>28.35</v>
      </c>
      <c r="K179" s="23">
        <v>65</v>
      </c>
      <c r="L179" s="23">
        <f t="shared" si="151"/>
        <v>1842.75</v>
      </c>
      <c r="M179" s="23">
        <v>2.1</v>
      </c>
      <c r="N179" s="23">
        <f t="shared" si="147"/>
        <v>2976.75</v>
      </c>
      <c r="O179" s="23">
        <f t="shared" si="148"/>
        <v>4819.5</v>
      </c>
      <c r="P179" s="46"/>
    </row>
    <row r="180" spans="1:16" x14ac:dyDescent="0.25">
      <c r="A180" s="60">
        <f>IF(G180&lt;&gt;"",1+MAX($A$13:A179),"")</f>
        <v>115</v>
      </c>
      <c r="C180" s="16" t="s">
        <v>42</v>
      </c>
      <c r="D180" s="59" t="s">
        <v>188</v>
      </c>
      <c r="E180" s="31">
        <f>10*6.33*20</f>
        <v>1266</v>
      </c>
      <c r="F180" s="39">
        <f>VLOOKUP(H180,'PROJECT SUMMARY'!$C$26:$D$32,2,0)</f>
        <v>0.05</v>
      </c>
      <c r="G180" s="31">
        <f t="shared" si="149"/>
        <v>1329.3</v>
      </c>
      <c r="H180" s="16" t="s">
        <v>14</v>
      </c>
      <c r="I180" s="62">
        <v>0.02</v>
      </c>
      <c r="J180" s="71">
        <f t="shared" si="150"/>
        <v>26.585999999999999</v>
      </c>
      <c r="K180" s="23">
        <v>65</v>
      </c>
      <c r="L180" s="23">
        <f t="shared" si="151"/>
        <v>1728.09</v>
      </c>
      <c r="M180" s="23">
        <v>2.1</v>
      </c>
      <c r="N180" s="23">
        <f t="shared" si="147"/>
        <v>2791.53</v>
      </c>
      <c r="O180" s="23">
        <f t="shared" si="148"/>
        <v>4519.62</v>
      </c>
      <c r="P180" s="46"/>
    </row>
    <row r="181" spans="1:16" x14ac:dyDescent="0.25">
      <c r="A181" s="60" t="str">
        <f>IF(G181&lt;&gt;"",1+MAX($A$13:A180),"")</f>
        <v/>
      </c>
      <c r="P181" s="46"/>
    </row>
    <row r="182" spans="1:16" x14ac:dyDescent="0.25">
      <c r="A182" s="60" t="str">
        <f>IF(G182&lt;&gt;"",1+MAX($A$13:A181),"")</f>
        <v/>
      </c>
      <c r="D182" s="58" t="s">
        <v>178</v>
      </c>
      <c r="I182" s="62"/>
      <c r="J182" s="71"/>
      <c r="P182" s="46"/>
    </row>
    <row r="183" spans="1:16" x14ac:dyDescent="0.25">
      <c r="A183" s="60">
        <f>IF(G183&lt;&gt;"",1+MAX($A$13:A182),"")</f>
        <v>116</v>
      </c>
      <c r="C183" s="16" t="s">
        <v>42</v>
      </c>
      <c r="D183" s="59" t="s">
        <v>179</v>
      </c>
      <c r="E183" s="31">
        <v>33</v>
      </c>
      <c r="F183" s="39">
        <f>VLOOKUP(H183,'PROJECT SUMMARY'!$C$26:$D$32,2,0)</f>
        <v>0</v>
      </c>
      <c r="G183" s="31">
        <f t="shared" si="149"/>
        <v>33</v>
      </c>
      <c r="H183" s="16" t="s">
        <v>10</v>
      </c>
      <c r="I183" s="62">
        <v>0.50969999999999993</v>
      </c>
      <c r="J183" s="71">
        <f t="shared" ref="J183:J188" si="152">I183*G183</f>
        <v>16.820099999999996</v>
      </c>
      <c r="K183" s="23">
        <v>65</v>
      </c>
      <c r="L183" s="23">
        <f t="shared" ref="L183:L188" si="153">K183*J183</f>
        <v>1093.3064999999997</v>
      </c>
      <c r="M183" s="23">
        <v>33.979999999999997</v>
      </c>
      <c r="N183" s="23">
        <f t="shared" si="147"/>
        <v>1121.3399999999999</v>
      </c>
      <c r="O183" s="23">
        <f t="shared" si="148"/>
        <v>2214.6464999999998</v>
      </c>
      <c r="P183" s="46"/>
    </row>
    <row r="184" spans="1:16" x14ac:dyDescent="0.25">
      <c r="A184" s="60">
        <f>IF(G184&lt;&gt;"",1+MAX($A$13:A183),"")</f>
        <v>117</v>
      </c>
      <c r="C184" s="16" t="s">
        <v>42</v>
      </c>
      <c r="D184" s="59" t="s">
        <v>182</v>
      </c>
      <c r="E184" s="31">
        <v>21</v>
      </c>
      <c r="F184" s="39">
        <f>VLOOKUP(H184,'PROJECT SUMMARY'!$C$26:$D$32,2,0)</f>
        <v>0</v>
      </c>
      <c r="G184" s="31">
        <f t="shared" ref="G184:G188" si="154">E184*(1+F184)</f>
        <v>21</v>
      </c>
      <c r="H184" s="16" t="s">
        <v>10</v>
      </c>
      <c r="I184" s="62">
        <v>0.76485000000000003</v>
      </c>
      <c r="J184" s="71">
        <f t="shared" si="152"/>
        <v>16.06185</v>
      </c>
      <c r="K184" s="23">
        <v>65</v>
      </c>
      <c r="L184" s="23">
        <f t="shared" si="153"/>
        <v>1044.02025</v>
      </c>
      <c r="M184" s="23">
        <v>50.99</v>
      </c>
      <c r="N184" s="23">
        <f t="shared" si="147"/>
        <v>1070.79</v>
      </c>
      <c r="O184" s="23">
        <f t="shared" si="148"/>
        <v>2114.81025</v>
      </c>
      <c r="P184" s="46"/>
    </row>
    <row r="185" spans="1:16" x14ac:dyDescent="0.25">
      <c r="A185" s="60">
        <f>IF(G185&lt;&gt;"",1+MAX($A$13:A184),"")</f>
        <v>118</v>
      </c>
      <c r="C185" s="16" t="s">
        <v>42</v>
      </c>
      <c r="D185" s="59" t="s">
        <v>183</v>
      </c>
      <c r="E185" s="31">
        <v>1</v>
      </c>
      <c r="F185" s="39">
        <f>VLOOKUP(H185,'PROJECT SUMMARY'!$C$26:$D$32,2,0)</f>
        <v>0</v>
      </c>
      <c r="G185" s="31">
        <f t="shared" si="154"/>
        <v>1</v>
      </c>
      <c r="H185" s="16" t="s">
        <v>10</v>
      </c>
      <c r="I185" s="62">
        <v>0.73919999999999997</v>
      </c>
      <c r="J185" s="71">
        <f t="shared" si="152"/>
        <v>0.73919999999999997</v>
      </c>
      <c r="K185" s="23">
        <v>65</v>
      </c>
      <c r="L185" s="23">
        <f t="shared" si="153"/>
        <v>48.047999999999995</v>
      </c>
      <c r="M185" s="23">
        <v>49.28</v>
      </c>
      <c r="N185" s="23">
        <f t="shared" si="147"/>
        <v>49.28</v>
      </c>
      <c r="O185" s="23">
        <f t="shared" si="148"/>
        <v>97.328000000000003</v>
      </c>
      <c r="P185" s="46"/>
    </row>
    <row r="186" spans="1:16" x14ac:dyDescent="0.25">
      <c r="A186" s="60">
        <f>IF(G186&lt;&gt;"",1+MAX($A$13:A185),"")</f>
        <v>119</v>
      </c>
      <c r="C186" s="16" t="s">
        <v>42</v>
      </c>
      <c r="D186" s="59" t="s">
        <v>184</v>
      </c>
      <c r="E186" s="31">
        <v>4</v>
      </c>
      <c r="F186" s="39">
        <f>VLOOKUP(H186,'PROJECT SUMMARY'!$C$26:$D$32,2,0)</f>
        <v>0</v>
      </c>
      <c r="G186" s="31">
        <f t="shared" si="154"/>
        <v>4</v>
      </c>
      <c r="H186" s="16" t="s">
        <v>10</v>
      </c>
      <c r="I186" s="62">
        <v>0.67635000000000001</v>
      </c>
      <c r="J186" s="71">
        <f t="shared" si="152"/>
        <v>2.7054</v>
      </c>
      <c r="K186" s="23">
        <v>65</v>
      </c>
      <c r="L186" s="23">
        <f t="shared" si="153"/>
        <v>175.851</v>
      </c>
      <c r="M186" s="23">
        <v>45.09</v>
      </c>
      <c r="N186" s="23">
        <f t="shared" si="147"/>
        <v>180.36</v>
      </c>
      <c r="O186" s="23">
        <f t="shared" si="148"/>
        <v>356.21100000000001</v>
      </c>
      <c r="P186" s="46"/>
    </row>
    <row r="187" spans="1:16" x14ac:dyDescent="0.25">
      <c r="A187" s="60">
        <f>IF(G187&lt;&gt;"",1+MAX($A$13:A186),"")</f>
        <v>120</v>
      </c>
      <c r="C187" s="16" t="s">
        <v>42</v>
      </c>
      <c r="D187" s="59" t="s">
        <v>180</v>
      </c>
      <c r="E187" s="31">
        <v>1</v>
      </c>
      <c r="F187" s="39">
        <f>VLOOKUP(H187,'PROJECT SUMMARY'!$C$26:$D$32,2,0)</f>
        <v>0</v>
      </c>
      <c r="G187" s="31">
        <f t="shared" si="154"/>
        <v>1</v>
      </c>
      <c r="H187" s="16" t="s">
        <v>10</v>
      </c>
      <c r="I187" s="62">
        <v>0.77175000000000005</v>
      </c>
      <c r="J187" s="71">
        <f t="shared" si="152"/>
        <v>0.77175000000000005</v>
      </c>
      <c r="K187" s="23">
        <v>65</v>
      </c>
      <c r="L187" s="23">
        <f t="shared" si="153"/>
        <v>50.16375</v>
      </c>
      <c r="M187" s="23">
        <v>51.45</v>
      </c>
      <c r="N187" s="23">
        <f t="shared" si="147"/>
        <v>51.45</v>
      </c>
      <c r="O187" s="23">
        <f t="shared" si="148"/>
        <v>101.61375000000001</v>
      </c>
      <c r="P187" s="46"/>
    </row>
    <row r="188" spans="1:16" x14ac:dyDescent="0.25">
      <c r="A188" s="60">
        <f>IF(G188&lt;&gt;"",1+MAX($A$13:A187),"")</f>
        <v>121</v>
      </c>
      <c r="C188" s="16" t="s">
        <v>42</v>
      </c>
      <c r="D188" s="59" t="s">
        <v>181</v>
      </c>
      <c r="E188" s="31">
        <v>9</v>
      </c>
      <c r="F188" s="39">
        <f>VLOOKUP(H188,'PROJECT SUMMARY'!$C$26:$D$32,2,0)</f>
        <v>0</v>
      </c>
      <c r="G188" s="31">
        <f t="shared" si="154"/>
        <v>9</v>
      </c>
      <c r="H188" s="16" t="s">
        <v>10</v>
      </c>
      <c r="I188" s="62">
        <v>0.33374999999999999</v>
      </c>
      <c r="J188" s="71">
        <f t="shared" si="152"/>
        <v>3.0037500000000001</v>
      </c>
      <c r="K188" s="23">
        <v>65</v>
      </c>
      <c r="L188" s="23">
        <f t="shared" si="153"/>
        <v>195.24375000000001</v>
      </c>
      <c r="M188" s="23">
        <v>22.25</v>
      </c>
      <c r="N188" s="23">
        <f t="shared" si="147"/>
        <v>200.25</v>
      </c>
      <c r="O188" s="23">
        <f t="shared" si="148"/>
        <v>395.49374999999998</v>
      </c>
      <c r="P188" s="46"/>
    </row>
    <row r="189" spans="1:16" x14ac:dyDescent="0.25">
      <c r="A189" s="60" t="str">
        <f>IF(G189&lt;&gt;"",1+MAX($A$13:A188),"")</f>
        <v/>
      </c>
      <c r="P189" s="46"/>
    </row>
    <row r="190" spans="1:16" x14ac:dyDescent="0.25">
      <c r="A190" s="60" t="str">
        <f>IF(G190&lt;&gt;"",1+MAX($A$13:A189),"")</f>
        <v/>
      </c>
      <c r="D190" s="58" t="s">
        <v>310</v>
      </c>
      <c r="I190" s="62"/>
      <c r="J190" s="71"/>
      <c r="P190" s="46"/>
    </row>
    <row r="191" spans="1:16" x14ac:dyDescent="0.25">
      <c r="A191" s="60">
        <f>IF(G191&lt;&gt;"",1+MAX($A$13:A190),"")</f>
        <v>122</v>
      </c>
      <c r="C191" s="16" t="s">
        <v>42</v>
      </c>
      <c r="D191" s="10" t="s">
        <v>314</v>
      </c>
      <c r="E191" s="10">
        <v>44.09</v>
      </c>
      <c r="F191" s="39">
        <f>VLOOKUP(H191,'PROJECT SUMMARY'!$C$26:$D$32,2,0)</f>
        <v>0.05</v>
      </c>
      <c r="G191" s="31">
        <f t="shared" ref="G191:G192" si="155">E191*(1+F191)</f>
        <v>46.294500000000006</v>
      </c>
      <c r="H191" s="16" t="s">
        <v>11</v>
      </c>
      <c r="I191" s="62">
        <v>0.65</v>
      </c>
      <c r="J191" s="71">
        <f t="shared" ref="J191:J198" si="156">I191*G191</f>
        <v>30.091425000000005</v>
      </c>
      <c r="K191" s="23">
        <v>65</v>
      </c>
      <c r="L191" s="23">
        <f t="shared" ref="L191:L198" si="157">K191*J191</f>
        <v>1955.9426250000004</v>
      </c>
      <c r="M191" s="23">
        <v>42.11</v>
      </c>
      <c r="N191" s="23">
        <f t="shared" ref="N191:N198" si="158">M191*G191</f>
        <v>1949.4613950000003</v>
      </c>
      <c r="O191" s="23">
        <f t="shared" ref="O191:O198" si="159">L191+N191</f>
        <v>3905.4040200000009</v>
      </c>
      <c r="P191" s="46"/>
    </row>
    <row r="192" spans="1:16" x14ac:dyDescent="0.25">
      <c r="A192" s="60">
        <f>IF(G192&lt;&gt;"",1+MAX($A$13:A191),"")</f>
        <v>123</v>
      </c>
      <c r="C192" s="16" t="s">
        <v>42</v>
      </c>
      <c r="D192" s="10" t="s">
        <v>315</v>
      </c>
      <c r="E192" s="10">
        <v>364.81</v>
      </c>
      <c r="F192" s="39">
        <f>VLOOKUP(H192,'PROJECT SUMMARY'!$C$26:$D$32,2,0)</f>
        <v>0.05</v>
      </c>
      <c r="G192" s="31">
        <f t="shared" si="155"/>
        <v>383.0505</v>
      </c>
      <c r="H192" s="16" t="s">
        <v>11</v>
      </c>
      <c r="I192" s="62">
        <v>0.75</v>
      </c>
      <c r="J192" s="71">
        <f t="shared" si="156"/>
        <v>287.28787499999999</v>
      </c>
      <c r="K192" s="23">
        <v>65</v>
      </c>
      <c r="L192" s="23">
        <f t="shared" si="157"/>
        <v>18673.711875000001</v>
      </c>
      <c r="M192" s="23">
        <v>58</v>
      </c>
      <c r="N192" s="23">
        <f t="shared" si="158"/>
        <v>22216.929</v>
      </c>
      <c r="O192" s="23">
        <f t="shared" si="159"/>
        <v>40890.640874999997</v>
      </c>
      <c r="P192" s="46"/>
    </row>
    <row r="193" spans="1:16" x14ac:dyDescent="0.25">
      <c r="A193" s="60">
        <f>IF(G193&lt;&gt;"",1+MAX($A$13:A192),"")</f>
        <v>124</v>
      </c>
      <c r="C193" s="16" t="s">
        <v>42</v>
      </c>
      <c r="D193" s="10" t="s">
        <v>316</v>
      </c>
      <c r="E193" s="10">
        <v>69.88</v>
      </c>
      <c r="F193" s="39">
        <f>VLOOKUP(H193,'PROJECT SUMMARY'!$C$26:$D$32,2,0)</f>
        <v>0.05</v>
      </c>
      <c r="G193" s="31">
        <f t="shared" ref="G193:G198" si="160">E193*(1+F193)</f>
        <v>73.373999999999995</v>
      </c>
      <c r="H193" s="16" t="s">
        <v>11</v>
      </c>
      <c r="I193" s="62">
        <v>0.7</v>
      </c>
      <c r="J193" s="71">
        <f t="shared" si="156"/>
        <v>51.361799999999995</v>
      </c>
      <c r="K193" s="23">
        <v>65</v>
      </c>
      <c r="L193" s="23">
        <f t="shared" si="157"/>
        <v>3338.5169999999998</v>
      </c>
      <c r="M193" s="23">
        <v>55</v>
      </c>
      <c r="N193" s="23">
        <f t="shared" si="158"/>
        <v>4035.5699999999997</v>
      </c>
      <c r="O193" s="23">
        <f t="shared" si="159"/>
        <v>7374.0869999999995</v>
      </c>
      <c r="P193" s="46"/>
    </row>
    <row r="194" spans="1:16" x14ac:dyDescent="0.25">
      <c r="A194" s="60">
        <f>IF(G194&lt;&gt;"",1+MAX($A$13:A193),"")</f>
        <v>125</v>
      </c>
      <c r="C194" s="16" t="s">
        <v>42</v>
      </c>
      <c r="D194" s="10" t="s">
        <v>311</v>
      </c>
      <c r="E194" s="10">
        <v>17.59</v>
      </c>
      <c r="F194" s="39">
        <f>VLOOKUP(H194,'PROJECT SUMMARY'!$C$26:$D$32,2,0)</f>
        <v>0.05</v>
      </c>
      <c r="G194" s="31">
        <f t="shared" si="160"/>
        <v>18.4695</v>
      </c>
      <c r="H194" s="16" t="s">
        <v>11</v>
      </c>
      <c r="I194" s="62">
        <v>0.9</v>
      </c>
      <c r="J194" s="71">
        <f t="shared" si="156"/>
        <v>16.62255</v>
      </c>
      <c r="K194" s="23">
        <v>65</v>
      </c>
      <c r="L194" s="23">
        <f t="shared" si="157"/>
        <v>1080.4657500000001</v>
      </c>
      <c r="M194" s="23">
        <v>65.34</v>
      </c>
      <c r="N194" s="23">
        <f t="shared" si="158"/>
        <v>1206.7971300000002</v>
      </c>
      <c r="O194" s="23">
        <f t="shared" si="159"/>
        <v>2287.2628800000002</v>
      </c>
      <c r="P194" s="46"/>
    </row>
    <row r="195" spans="1:16" x14ac:dyDescent="0.25">
      <c r="A195" s="60" t="str">
        <f>IF(G195&lt;&gt;"",1+MAX($A$13:A194),"")</f>
        <v/>
      </c>
      <c r="P195" s="46"/>
    </row>
    <row r="196" spans="1:16" x14ac:dyDescent="0.25">
      <c r="A196" s="60" t="str">
        <f>IF(G196&lt;&gt;"",1+MAX($A$13:A195),"")</f>
        <v/>
      </c>
      <c r="D196" s="58" t="s">
        <v>317</v>
      </c>
      <c r="I196" s="62"/>
      <c r="J196" s="71"/>
      <c r="P196" s="46"/>
    </row>
    <row r="197" spans="1:16" x14ac:dyDescent="0.25">
      <c r="A197" s="60">
        <f>IF(G197&lt;&gt;"",1+MAX($A$13:A196),"")</f>
        <v>126</v>
      </c>
      <c r="C197" s="16" t="s">
        <v>42</v>
      </c>
      <c r="D197" s="10" t="s">
        <v>312</v>
      </c>
      <c r="E197" s="10">
        <v>98.95</v>
      </c>
      <c r="F197" s="39">
        <f>VLOOKUP(H197,'PROJECT SUMMARY'!$C$26:$D$32,2,0)</f>
        <v>0.05</v>
      </c>
      <c r="G197" s="31">
        <f t="shared" si="160"/>
        <v>103.89750000000001</v>
      </c>
      <c r="H197" s="16" t="s">
        <v>11</v>
      </c>
      <c r="I197" s="62">
        <v>0.52</v>
      </c>
      <c r="J197" s="71">
        <f t="shared" si="156"/>
        <v>54.026700000000005</v>
      </c>
      <c r="K197" s="23">
        <v>65</v>
      </c>
      <c r="L197" s="23">
        <f t="shared" si="157"/>
        <v>3511.7355000000002</v>
      </c>
      <c r="M197" s="23">
        <v>120</v>
      </c>
      <c r="N197" s="23">
        <f t="shared" si="158"/>
        <v>12467.7</v>
      </c>
      <c r="O197" s="23">
        <f t="shared" si="159"/>
        <v>15979.435500000001</v>
      </c>
      <c r="P197" s="46"/>
    </row>
    <row r="198" spans="1:16" x14ac:dyDescent="0.25">
      <c r="A198" s="60">
        <f>IF(G198&lt;&gt;"",1+MAX($A$13:A197),"")</f>
        <v>127</v>
      </c>
      <c r="C198" s="16" t="s">
        <v>42</v>
      </c>
      <c r="D198" s="10" t="s">
        <v>313</v>
      </c>
      <c r="E198" s="10">
        <v>50.09</v>
      </c>
      <c r="F198" s="39">
        <f>VLOOKUP(H198,'PROJECT SUMMARY'!$C$26:$D$32,2,0)</f>
        <v>0.05</v>
      </c>
      <c r="G198" s="31">
        <f t="shared" si="160"/>
        <v>52.594500000000004</v>
      </c>
      <c r="H198" s="16" t="s">
        <v>11</v>
      </c>
      <c r="I198" s="62">
        <v>0.58499999999999996</v>
      </c>
      <c r="J198" s="71">
        <f t="shared" si="156"/>
        <v>30.767782499999999</v>
      </c>
      <c r="K198" s="23">
        <v>65</v>
      </c>
      <c r="L198" s="23">
        <f t="shared" si="157"/>
        <v>1999.9058625</v>
      </c>
      <c r="M198" s="23">
        <v>135</v>
      </c>
      <c r="N198" s="23">
        <f t="shared" si="158"/>
        <v>7100.2575000000006</v>
      </c>
      <c r="O198" s="23">
        <f t="shared" si="159"/>
        <v>9100.1633625000013</v>
      </c>
      <c r="P198" s="46"/>
    </row>
    <row r="199" spans="1:16" x14ac:dyDescent="0.25">
      <c r="A199" s="60" t="str">
        <f>IF(G199&lt;&gt;"",1+MAX($A$13:A198),"")</f>
        <v/>
      </c>
      <c r="P199" s="46"/>
    </row>
    <row r="200" spans="1:16" x14ac:dyDescent="0.25">
      <c r="A200" s="60" t="str">
        <f>IF(G200&lt;&gt;"",1+MAX($A$13:A199),"")</f>
        <v/>
      </c>
      <c r="D200" s="58" t="s">
        <v>97</v>
      </c>
      <c r="I200" s="62"/>
      <c r="J200" s="71"/>
      <c r="P200" s="46"/>
    </row>
    <row r="201" spans="1:16" x14ac:dyDescent="0.25">
      <c r="A201" s="60">
        <f>IF(G201&lt;&gt;"",1+MAX($A$13:A200),"")</f>
        <v>128</v>
      </c>
      <c r="C201" s="16" t="s">
        <v>42</v>
      </c>
      <c r="D201" s="59" t="s">
        <v>416</v>
      </c>
      <c r="E201" s="10">
        <v>145.75</v>
      </c>
      <c r="F201" s="39">
        <f>VLOOKUP(H201,'PROJECT SUMMARY'!$C$26:$D$32,2,0)</f>
        <v>0.05</v>
      </c>
      <c r="G201" s="31">
        <f t="shared" ref="G201" si="161">E201*(1+F201)</f>
        <v>153.03749999999999</v>
      </c>
      <c r="H201" s="16" t="s">
        <v>12</v>
      </c>
      <c r="I201" s="62">
        <v>6.5000000000000002E-2</v>
      </c>
      <c r="J201" s="71">
        <f t="shared" ref="J201" si="162">I201*G201</f>
        <v>9.9474374999999995</v>
      </c>
      <c r="K201" s="23">
        <v>65</v>
      </c>
      <c r="L201" s="23">
        <f t="shared" ref="L201" si="163">K201*J201</f>
        <v>646.58343749999995</v>
      </c>
      <c r="M201" s="23">
        <v>7.25</v>
      </c>
      <c r="N201" s="23">
        <f t="shared" ref="N201" si="164">M201*G201</f>
        <v>1109.5218749999999</v>
      </c>
      <c r="O201" s="23">
        <f t="shared" ref="O201" si="165">L201+N201</f>
        <v>1756.1053124999999</v>
      </c>
      <c r="P201" s="46"/>
    </row>
    <row r="202" spans="1:16" x14ac:dyDescent="0.25">
      <c r="A202" s="60" t="str">
        <f>IF(G202&lt;&gt;"",1+MAX($A$13:A201),"")</f>
        <v/>
      </c>
      <c r="D202" s="59"/>
      <c r="I202" s="62"/>
      <c r="J202" s="71"/>
      <c r="P202" s="46"/>
    </row>
    <row r="203" spans="1:16" x14ac:dyDescent="0.25">
      <c r="A203" s="60" t="str">
        <f>IF(G203&lt;&gt;"",1+MAX($A$13:A202),"")</f>
        <v/>
      </c>
      <c r="D203" s="58" t="s">
        <v>66</v>
      </c>
      <c r="I203" s="62"/>
      <c r="J203" s="71"/>
      <c r="P203" s="46"/>
    </row>
    <row r="204" spans="1:16" x14ac:dyDescent="0.25">
      <c r="A204" s="60">
        <f>IF(G204&lt;&gt;"",1+MAX($A$13:A203),"")</f>
        <v>129</v>
      </c>
      <c r="C204" s="16" t="s">
        <v>42</v>
      </c>
      <c r="D204" s="59" t="s">
        <v>110</v>
      </c>
      <c r="E204" s="31">
        <f>32402/2000</f>
        <v>16.201000000000001</v>
      </c>
      <c r="F204" s="39">
        <f>VLOOKUP(H204,'PROJECT SUMMARY'!$C$26:$D$32,2,0)</f>
        <v>0.05</v>
      </c>
      <c r="G204" s="31">
        <f>E204*(1+F204)</f>
        <v>17.011050000000001</v>
      </c>
      <c r="H204" s="16" t="s">
        <v>15</v>
      </c>
      <c r="I204" s="62">
        <v>3</v>
      </c>
      <c r="J204" s="71">
        <f>I204*G204</f>
        <v>51.033150000000006</v>
      </c>
      <c r="K204" s="23">
        <v>65</v>
      </c>
      <c r="L204" s="23">
        <f>K204*J204</f>
        <v>3317.1547500000006</v>
      </c>
      <c r="N204" s="23">
        <f>M204*G204</f>
        <v>0</v>
      </c>
      <c r="O204" s="23">
        <f>L204+N204</f>
        <v>3317.1547500000006</v>
      </c>
      <c r="P204" s="46"/>
    </row>
    <row r="205" spans="1:16" ht="16.5" thickBot="1" x14ac:dyDescent="0.3">
      <c r="A205" s="60" t="str">
        <f>IF(G205&lt;&gt;"",1+MAX($A$13:A204),"")</f>
        <v/>
      </c>
      <c r="P205" s="46"/>
    </row>
    <row r="206" spans="1:16" ht="16.5" thickBot="1" x14ac:dyDescent="0.3">
      <c r="A206" s="87" t="str">
        <f>IF(G206&lt;&gt;"",1+MAX($A$13:A205),"")</f>
        <v/>
      </c>
      <c r="B206" s="83"/>
      <c r="C206" s="83" t="s">
        <v>77</v>
      </c>
      <c r="D206" s="81" t="s">
        <v>78</v>
      </c>
      <c r="E206" s="85"/>
      <c r="F206" s="86"/>
      <c r="G206" s="85"/>
      <c r="H206" s="85"/>
      <c r="I206" s="81"/>
      <c r="J206" s="81"/>
      <c r="K206" s="82"/>
      <c r="L206" s="82"/>
      <c r="M206" s="82"/>
      <c r="N206" s="82"/>
      <c r="O206" s="84"/>
      <c r="P206" s="88">
        <f>SUM(O207:O258)</f>
        <v>265995.54555518203</v>
      </c>
    </row>
    <row r="207" spans="1:16" x14ac:dyDescent="0.25">
      <c r="A207" s="60" t="str">
        <f>IF(G207&lt;&gt;"",1+MAX($A$13:A206),"")</f>
        <v/>
      </c>
      <c r="P207" s="46"/>
    </row>
    <row r="208" spans="1:16" x14ac:dyDescent="0.25">
      <c r="A208" s="60" t="str">
        <f>IF(G208&lt;&gt;"",1+MAX($A$13:A207),"")</f>
        <v/>
      </c>
      <c r="D208" s="58" t="s">
        <v>94</v>
      </c>
      <c r="P208" s="46"/>
    </row>
    <row r="209" spans="1:16" x14ac:dyDescent="0.25">
      <c r="A209" s="60">
        <f>IF(G209&lt;&gt;"",1+MAX($A$13:A208),"")</f>
        <v>130</v>
      </c>
      <c r="C209" s="16" t="s">
        <v>77</v>
      </c>
      <c r="D209" s="59" t="s">
        <v>197</v>
      </c>
      <c r="E209" s="31">
        <v>18.7</v>
      </c>
      <c r="F209" s="39">
        <f>VLOOKUP(H209,'PROJECT SUMMARY'!$C$26:$D$32,2,0)</f>
        <v>0.05</v>
      </c>
      <c r="G209" s="31">
        <f>E209*(1+F209)</f>
        <v>19.635000000000002</v>
      </c>
      <c r="H209" s="16" t="s">
        <v>11</v>
      </c>
      <c r="I209" s="62">
        <v>8.2563706563706554E-2</v>
      </c>
      <c r="J209" s="71">
        <f t="shared" ref="J209:J210" si="166">I209*G209</f>
        <v>1.6211383783783784</v>
      </c>
      <c r="K209" s="23">
        <v>50</v>
      </c>
      <c r="L209" s="23">
        <f t="shared" ref="L209:L210" si="167">K209*J209</f>
        <v>81.056918918918925</v>
      </c>
      <c r="M209" s="23">
        <v>34.151351351351352</v>
      </c>
      <c r="N209" s="23">
        <f>M209*G209</f>
        <v>670.56178378378388</v>
      </c>
      <c r="O209" s="23">
        <f>L209+N209</f>
        <v>751.61870270270276</v>
      </c>
      <c r="P209" s="46"/>
    </row>
    <row r="210" spans="1:16" x14ac:dyDescent="0.25">
      <c r="A210" s="60">
        <f>IF(G210&lt;&gt;"",1+MAX($A$13:A209),"")</f>
        <v>131</v>
      </c>
      <c r="C210" s="16" t="s">
        <v>77</v>
      </c>
      <c r="D210" s="59" t="s">
        <v>209</v>
      </c>
      <c r="E210" s="31">
        <v>118</v>
      </c>
      <c r="F210" s="39">
        <f>VLOOKUP(H210,'PROJECT SUMMARY'!$C$26:$D$32,2,0)</f>
        <v>0.05</v>
      </c>
      <c r="G210" s="31">
        <f t="shared" ref="G210:G212" si="168">E210*(1+F210)</f>
        <v>123.9</v>
      </c>
      <c r="H210" s="16" t="s">
        <v>11</v>
      </c>
      <c r="I210" s="62">
        <v>0.15595366795366797</v>
      </c>
      <c r="J210" s="71">
        <f t="shared" si="166"/>
        <v>19.322659459459462</v>
      </c>
      <c r="K210" s="23">
        <v>50</v>
      </c>
      <c r="L210" s="23">
        <f t="shared" si="167"/>
        <v>966.13297297297311</v>
      </c>
      <c r="M210" s="23">
        <v>64.508108108108118</v>
      </c>
      <c r="N210" s="23">
        <f t="shared" ref="N210:N213" si="169">M210*G210</f>
        <v>7992.554594594596</v>
      </c>
      <c r="O210" s="23">
        <f t="shared" ref="O210:O213" si="170">L210+N210</f>
        <v>8958.6875675675692</v>
      </c>
      <c r="P210" s="46"/>
    </row>
    <row r="211" spans="1:16" x14ac:dyDescent="0.25">
      <c r="A211" s="60" t="str">
        <f>IF(G211&lt;&gt;"",1+MAX($A$13:A210),"")</f>
        <v/>
      </c>
      <c r="D211" s="59"/>
      <c r="I211" s="62"/>
      <c r="J211" s="71"/>
      <c r="P211" s="46"/>
    </row>
    <row r="212" spans="1:16" x14ac:dyDescent="0.25">
      <c r="A212" s="60">
        <f>IF(G212&lt;&gt;"",1+MAX($A$13:A211),"")</f>
        <v>132</v>
      </c>
      <c r="C212" s="16" t="s">
        <v>77</v>
      </c>
      <c r="D212" s="59" t="s">
        <v>211</v>
      </c>
      <c r="E212" s="31">
        <f>814.45*3</f>
        <v>2443.3500000000004</v>
      </c>
      <c r="F212" s="39">
        <f>VLOOKUP(H212,'PROJECT SUMMARY'!$C$26:$D$32,2,0)</f>
        <v>0.05</v>
      </c>
      <c r="G212" s="31">
        <f t="shared" si="168"/>
        <v>2565.5175000000004</v>
      </c>
      <c r="H212" s="16" t="s">
        <v>11</v>
      </c>
      <c r="I212" s="62">
        <v>3.7999999999999999E-2</v>
      </c>
      <c r="J212" s="71">
        <f t="shared" ref="J212:J213" si="171">I212*G212</f>
        <v>97.489665000000016</v>
      </c>
      <c r="K212" s="23">
        <v>50</v>
      </c>
      <c r="L212" s="23">
        <f t="shared" ref="L212:L213" si="172">K212*J212</f>
        <v>4874.4832500000011</v>
      </c>
      <c r="M212" s="23">
        <v>1.9</v>
      </c>
      <c r="N212" s="23">
        <f t="shared" si="169"/>
        <v>4874.4832500000002</v>
      </c>
      <c r="O212" s="23">
        <f t="shared" si="170"/>
        <v>9748.9665000000023</v>
      </c>
      <c r="P212" s="46"/>
    </row>
    <row r="213" spans="1:16" x14ac:dyDescent="0.25">
      <c r="A213" s="60">
        <f>IF(G213&lt;&gt;"",1+MAX($A$13:A212),"")</f>
        <v>133</v>
      </c>
      <c r="C213" s="16" t="s">
        <v>77</v>
      </c>
      <c r="D213" s="59" t="s">
        <v>212</v>
      </c>
      <c r="E213" s="31">
        <f>147.11*4</f>
        <v>588.44000000000005</v>
      </c>
      <c r="F213" s="39">
        <f>VLOOKUP(H213,'PROJECT SUMMARY'!$C$26:$D$32,2,0)</f>
        <v>0.05</v>
      </c>
      <c r="G213" s="31">
        <f t="shared" ref="G213" si="173">E213*(1+F213)</f>
        <v>617.86200000000008</v>
      </c>
      <c r="H213" s="16" t="s">
        <v>11</v>
      </c>
      <c r="I213" s="62">
        <v>3.7999999999999999E-2</v>
      </c>
      <c r="J213" s="71">
        <f t="shared" si="171"/>
        <v>23.478756000000004</v>
      </c>
      <c r="K213" s="23">
        <v>50</v>
      </c>
      <c r="L213" s="23">
        <f t="shared" si="172"/>
        <v>1173.9378000000002</v>
      </c>
      <c r="M213" s="23">
        <v>1.9</v>
      </c>
      <c r="N213" s="23">
        <f t="shared" si="169"/>
        <v>1173.9378000000002</v>
      </c>
      <c r="O213" s="23">
        <f t="shared" si="170"/>
        <v>2347.8756000000003</v>
      </c>
      <c r="P213" s="46"/>
    </row>
    <row r="214" spans="1:16" x14ac:dyDescent="0.25">
      <c r="A214" s="60" t="str">
        <f>IF(G214&lt;&gt;"",1+MAX($A$13:A213),"")</f>
        <v/>
      </c>
      <c r="P214" s="46"/>
    </row>
    <row r="215" spans="1:16" x14ac:dyDescent="0.25">
      <c r="A215" s="60" t="str">
        <f>IF(G215&lt;&gt;"",1+MAX($A$13:A214),"")</f>
        <v/>
      </c>
      <c r="D215" s="58" t="s">
        <v>95</v>
      </c>
      <c r="P215" s="46"/>
    </row>
    <row r="216" spans="1:16" x14ac:dyDescent="0.25">
      <c r="A216" s="60">
        <f>IF(G216&lt;&gt;"",1+MAX($A$13:A215),"")</f>
        <v>134</v>
      </c>
      <c r="C216" s="16" t="s">
        <v>77</v>
      </c>
      <c r="D216" s="59" t="s">
        <v>205</v>
      </c>
      <c r="E216" s="31">
        <v>25.09</v>
      </c>
      <c r="F216" s="39">
        <f>VLOOKUP(H216,'PROJECT SUMMARY'!$C$26:$D$32,2,0)</f>
        <v>0.05</v>
      </c>
      <c r="G216" s="31">
        <f t="shared" ref="G216:G257" si="174">E216*(1+F216)</f>
        <v>26.3445</v>
      </c>
      <c r="H216" s="16" t="s">
        <v>11</v>
      </c>
      <c r="I216" s="62">
        <v>3.7999999999999999E-2</v>
      </c>
      <c r="J216" s="71">
        <f t="shared" ref="J216" si="175">I216*G216</f>
        <v>1.001091</v>
      </c>
      <c r="K216" s="23">
        <v>50</v>
      </c>
      <c r="L216" s="23">
        <f t="shared" ref="L216" si="176">K216*J216</f>
        <v>50.054549999999999</v>
      </c>
      <c r="M216" s="23">
        <v>1.9</v>
      </c>
      <c r="N216" s="23">
        <f t="shared" ref="N216:N257" si="177">M216*G216</f>
        <v>50.054549999999999</v>
      </c>
      <c r="O216" s="23">
        <f t="shared" ref="O216:O257" si="178">L216+N216</f>
        <v>100.1091</v>
      </c>
      <c r="P216" s="46"/>
    </row>
    <row r="217" spans="1:16" x14ac:dyDescent="0.25">
      <c r="A217" s="60" t="str">
        <f>IF(G217&lt;&gt;"",1+MAX($A$13:A216),"")</f>
        <v/>
      </c>
      <c r="D217" s="59"/>
      <c r="I217" s="62"/>
      <c r="J217" s="71"/>
      <c r="P217" s="46"/>
    </row>
    <row r="218" spans="1:16" x14ac:dyDescent="0.25">
      <c r="A218" s="60">
        <f>IF(G218&lt;&gt;"",1+MAX($A$13:A217),"")</f>
        <v>135</v>
      </c>
      <c r="C218" s="16" t="s">
        <v>77</v>
      </c>
      <c r="D218" s="59" t="s">
        <v>196</v>
      </c>
      <c r="E218" s="31">
        <v>108.01</v>
      </c>
      <c r="F218" s="39">
        <f>VLOOKUP(H218,'PROJECT SUMMARY'!$C$26:$D$32,2,0)</f>
        <v>0.05</v>
      </c>
      <c r="G218" s="31">
        <f t="shared" ref="G218:G237" si="179">E218*(1+F218)</f>
        <v>113.41050000000001</v>
      </c>
      <c r="H218" s="16" t="s">
        <v>11</v>
      </c>
      <c r="I218" s="62">
        <v>0.10425</v>
      </c>
      <c r="J218" s="71">
        <f t="shared" ref="J218:J222" si="180">I218*G218</f>
        <v>11.823044625000001</v>
      </c>
      <c r="K218" s="23">
        <v>50</v>
      </c>
      <c r="L218" s="23">
        <f t="shared" ref="L218:L222" si="181">K218*J218</f>
        <v>591.15223125000011</v>
      </c>
      <c r="M218" s="23">
        <v>34.75</v>
      </c>
      <c r="N218" s="23">
        <f t="shared" ref="N218:N237" si="182">M218*G218</f>
        <v>3941.0148750000003</v>
      </c>
      <c r="O218" s="23">
        <f t="shared" ref="O218:O237" si="183">L218+N218</f>
        <v>4532.1671062500009</v>
      </c>
      <c r="P218" s="46"/>
    </row>
    <row r="219" spans="1:16" x14ac:dyDescent="0.25">
      <c r="A219" s="60">
        <f>IF(G219&lt;&gt;"",1+MAX($A$13:A218),"")</f>
        <v>136</v>
      </c>
      <c r="C219" s="16" t="s">
        <v>77</v>
      </c>
      <c r="D219" s="59" t="s">
        <v>204</v>
      </c>
      <c r="E219" s="31">
        <v>3.94</v>
      </c>
      <c r="F219" s="39">
        <f>VLOOKUP(H219,'PROJECT SUMMARY'!$C$26:$D$32,2,0)</f>
        <v>0.05</v>
      </c>
      <c r="G219" s="31">
        <f t="shared" si="179"/>
        <v>4.1370000000000005</v>
      </c>
      <c r="H219" s="16" t="s">
        <v>11</v>
      </c>
      <c r="I219" s="62">
        <v>8.3400000000000002E-2</v>
      </c>
      <c r="J219" s="71">
        <f t="shared" si="180"/>
        <v>0.34502580000000005</v>
      </c>
      <c r="K219" s="23">
        <v>50</v>
      </c>
      <c r="L219" s="23">
        <f t="shared" si="181"/>
        <v>17.251290000000001</v>
      </c>
      <c r="M219" s="23">
        <v>27.8</v>
      </c>
      <c r="N219" s="23">
        <f t="shared" si="182"/>
        <v>115.00860000000002</v>
      </c>
      <c r="O219" s="23">
        <f t="shared" si="183"/>
        <v>132.25989000000001</v>
      </c>
      <c r="P219" s="46"/>
    </row>
    <row r="220" spans="1:16" x14ac:dyDescent="0.25">
      <c r="A220" s="60">
        <f>IF(G220&lt;&gt;"",1+MAX($A$13:A219),"")</f>
        <v>137</v>
      </c>
      <c r="C220" s="16" t="s">
        <v>77</v>
      </c>
      <c r="D220" s="59" t="s">
        <v>192</v>
      </c>
      <c r="E220" s="31">
        <v>116.6</v>
      </c>
      <c r="F220" s="39">
        <f>VLOOKUP(H220,'PROJECT SUMMARY'!$C$26:$D$32,2,0)</f>
        <v>0.05</v>
      </c>
      <c r="G220" s="31">
        <f t="shared" si="179"/>
        <v>122.42999999999999</v>
      </c>
      <c r="H220" s="16" t="s">
        <v>11</v>
      </c>
      <c r="I220" s="62">
        <v>0.15637500000000001</v>
      </c>
      <c r="J220" s="71">
        <f t="shared" si="180"/>
        <v>19.14499125</v>
      </c>
      <c r="K220" s="23">
        <v>50</v>
      </c>
      <c r="L220" s="23">
        <f t="shared" si="181"/>
        <v>957.24956250000002</v>
      </c>
      <c r="M220" s="23">
        <v>52.125</v>
      </c>
      <c r="N220" s="23">
        <f t="shared" si="182"/>
        <v>6381.6637499999997</v>
      </c>
      <c r="O220" s="23">
        <f t="shared" si="183"/>
        <v>7338.9133124999998</v>
      </c>
      <c r="P220" s="46"/>
    </row>
    <row r="221" spans="1:16" x14ac:dyDescent="0.25">
      <c r="A221" s="60">
        <f>IF(G221&lt;&gt;"",1+MAX($A$13:A220),"")</f>
        <v>138</v>
      </c>
      <c r="C221" s="16" t="s">
        <v>77</v>
      </c>
      <c r="D221" s="59" t="s">
        <v>193</v>
      </c>
      <c r="E221" s="31">
        <v>25.17</v>
      </c>
      <c r="F221" s="39">
        <f>VLOOKUP(H221,'PROJECT SUMMARY'!$C$26:$D$32,2,0)</f>
        <v>0.05</v>
      </c>
      <c r="G221" s="31">
        <f t="shared" si="179"/>
        <v>26.428500000000003</v>
      </c>
      <c r="H221" s="16" t="s">
        <v>11</v>
      </c>
      <c r="I221" s="62">
        <v>0.21069473684210527</v>
      </c>
      <c r="J221" s="71">
        <f t="shared" si="180"/>
        <v>5.5683458526315794</v>
      </c>
      <c r="K221" s="23">
        <v>50</v>
      </c>
      <c r="L221" s="23">
        <f t="shared" si="181"/>
        <v>278.41729263157896</v>
      </c>
      <c r="M221" s="23">
        <v>70.231578947368419</v>
      </c>
      <c r="N221" s="23">
        <f t="shared" si="182"/>
        <v>1856.1152842105264</v>
      </c>
      <c r="O221" s="23">
        <f t="shared" si="183"/>
        <v>2134.5325768421053</v>
      </c>
      <c r="P221" s="46"/>
    </row>
    <row r="222" spans="1:16" x14ac:dyDescent="0.25">
      <c r="A222" s="60">
        <f>IF(G222&lt;&gt;"",1+MAX($A$13:A221),"")</f>
        <v>139</v>
      </c>
      <c r="C222" s="16" t="s">
        <v>77</v>
      </c>
      <c r="D222" s="59" t="s">
        <v>199</v>
      </c>
      <c r="E222" s="31">
        <v>6.51</v>
      </c>
      <c r="F222" s="39">
        <f>VLOOKUP(H222,'PROJECT SUMMARY'!$C$26:$D$32,2,0)</f>
        <v>0.05</v>
      </c>
      <c r="G222" s="31">
        <f t="shared" si="179"/>
        <v>6.8354999999999997</v>
      </c>
      <c r="H222" s="16" t="s">
        <v>11</v>
      </c>
      <c r="I222" s="62">
        <v>0.12510000000000002</v>
      </c>
      <c r="J222" s="71">
        <f t="shared" si="180"/>
        <v>0.85512105000000005</v>
      </c>
      <c r="K222" s="23">
        <v>50</v>
      </c>
      <c r="L222" s="23">
        <f t="shared" si="181"/>
        <v>42.756052500000003</v>
      </c>
      <c r="M222" s="23">
        <v>41.7</v>
      </c>
      <c r="N222" s="23">
        <f t="shared" si="182"/>
        <v>285.04034999999999</v>
      </c>
      <c r="O222" s="23">
        <f t="shared" si="183"/>
        <v>327.7964025</v>
      </c>
      <c r="P222" s="46"/>
    </row>
    <row r="223" spans="1:16" x14ac:dyDescent="0.25">
      <c r="A223" s="60">
        <f>IF(G223&lt;&gt;"",1+MAX($A$13:A222),"")</f>
        <v>140</v>
      </c>
      <c r="C223" s="16" t="s">
        <v>77</v>
      </c>
      <c r="D223" s="59" t="s">
        <v>195</v>
      </c>
      <c r="E223" s="31">
        <v>46.49</v>
      </c>
      <c r="F223" s="39">
        <f>VLOOKUP(H223,'PROJECT SUMMARY'!$C$26:$D$32,2,0)</f>
        <v>0.05</v>
      </c>
      <c r="G223" s="31">
        <f>E223*(1+F223)</f>
        <v>48.814500000000002</v>
      </c>
      <c r="H223" s="16" t="s">
        <v>11</v>
      </c>
      <c r="I223" s="62">
        <v>0.20849999999999999</v>
      </c>
      <c r="J223" s="71">
        <f>I223*G223</f>
        <v>10.177823249999999</v>
      </c>
      <c r="K223" s="23">
        <v>50</v>
      </c>
      <c r="L223" s="23">
        <f>K223*J223</f>
        <v>508.89116249999995</v>
      </c>
      <c r="M223" s="23">
        <v>69.5</v>
      </c>
      <c r="N223" s="23">
        <f>M223*G223</f>
        <v>3392.6077500000001</v>
      </c>
      <c r="O223" s="23">
        <f>L223+N223</f>
        <v>3901.4989125000002</v>
      </c>
      <c r="P223" s="46"/>
    </row>
    <row r="224" spans="1:16" x14ac:dyDescent="0.25">
      <c r="A224" s="60">
        <f>IF(G224&lt;&gt;"",1+MAX($A$13:A223),"")</f>
        <v>141</v>
      </c>
      <c r="C224" s="16" t="s">
        <v>77</v>
      </c>
      <c r="D224" s="59" t="s">
        <v>194</v>
      </c>
      <c r="E224" s="31">
        <v>50.31</v>
      </c>
      <c r="F224" s="39">
        <f>VLOOKUP(H224,'PROJECT SUMMARY'!$C$26:$D$32,2,0)</f>
        <v>0.05</v>
      </c>
      <c r="G224" s="31">
        <f>E224*(1+F224)</f>
        <v>52.825500000000005</v>
      </c>
      <c r="H224" s="16" t="s">
        <v>11</v>
      </c>
      <c r="I224" s="62">
        <v>0.28092631578947369</v>
      </c>
      <c r="J224" s="71">
        <f>I224*G224</f>
        <v>14.840073094736844</v>
      </c>
      <c r="K224" s="23">
        <v>50</v>
      </c>
      <c r="L224" s="23">
        <f>K224*J224</f>
        <v>742.00365473684224</v>
      </c>
      <c r="M224" s="23">
        <v>93.642105263157902</v>
      </c>
      <c r="N224" s="23">
        <f>M224*G224</f>
        <v>4946.6910315789482</v>
      </c>
      <c r="O224" s="23">
        <f>L224+N224</f>
        <v>5688.69468631579</v>
      </c>
      <c r="P224" s="46"/>
    </row>
    <row r="225" spans="1:16" x14ac:dyDescent="0.25">
      <c r="A225" s="60" t="str">
        <f>IF(G225&lt;&gt;"",1+MAX($A$13:A224),"")</f>
        <v/>
      </c>
      <c r="D225" s="59"/>
      <c r="I225" s="62"/>
      <c r="J225" s="71"/>
      <c r="P225" s="46"/>
    </row>
    <row r="226" spans="1:16" x14ac:dyDescent="0.25">
      <c r="A226" s="60">
        <f>IF(G226&lt;&gt;"",1+MAX($A$13:A225),"")</f>
        <v>142</v>
      </c>
      <c r="C226" s="16" t="s">
        <v>77</v>
      </c>
      <c r="D226" s="59" t="s">
        <v>206</v>
      </c>
      <c r="E226" s="31">
        <v>27.99</v>
      </c>
      <c r="F226" s="39">
        <f>VLOOKUP(H226,'PROJECT SUMMARY'!$C$26:$D$32,2,0)</f>
        <v>0.05</v>
      </c>
      <c r="G226" s="31">
        <f t="shared" si="179"/>
        <v>29.389499999999998</v>
      </c>
      <c r="H226" s="16" t="s">
        <v>11</v>
      </c>
      <c r="I226" s="62">
        <v>8.2563706563706554E-2</v>
      </c>
      <c r="J226" s="71">
        <f t="shared" ref="J226:J235" si="184">I226*G226</f>
        <v>2.4265060540540535</v>
      </c>
      <c r="K226" s="23">
        <v>50</v>
      </c>
      <c r="L226" s="23">
        <f t="shared" ref="L226:L235" si="185">K226*J226</f>
        <v>121.32530270270267</v>
      </c>
      <c r="M226" s="23">
        <v>58.341891891891898</v>
      </c>
      <c r="N226" s="23">
        <f t="shared" si="182"/>
        <v>1714.6390317567568</v>
      </c>
      <c r="O226" s="23">
        <f t="shared" si="183"/>
        <v>1835.9643344594595</v>
      </c>
      <c r="P226" s="46"/>
    </row>
    <row r="227" spans="1:16" x14ac:dyDescent="0.25">
      <c r="A227" s="60">
        <f>IF(G227&lt;&gt;"",1+MAX($A$13:A226),"")</f>
        <v>143</v>
      </c>
      <c r="C227" s="16" t="s">
        <v>77</v>
      </c>
      <c r="D227" s="59" t="s">
        <v>202</v>
      </c>
      <c r="E227" s="31">
        <v>176.37</v>
      </c>
      <c r="F227" s="39">
        <f>VLOOKUP(H227,'PROJECT SUMMARY'!$C$26:$D$32,2,0)</f>
        <v>0.05</v>
      </c>
      <c r="G227" s="31">
        <f t="shared" ref="G227:G233" si="186">E227*(1+F227)</f>
        <v>185.1885</v>
      </c>
      <c r="H227" s="16" t="s">
        <v>11</v>
      </c>
      <c r="I227" s="62">
        <v>0.18576833976833979</v>
      </c>
      <c r="J227" s="71">
        <f t="shared" si="184"/>
        <v>34.402160189189196</v>
      </c>
      <c r="K227" s="23">
        <v>50</v>
      </c>
      <c r="L227" s="23">
        <f t="shared" si="185"/>
        <v>1720.1080094594597</v>
      </c>
      <c r="M227" s="23">
        <v>76.840540540540545</v>
      </c>
      <c r="N227" s="23">
        <f t="shared" si="182"/>
        <v>14229.984441891893</v>
      </c>
      <c r="O227" s="23">
        <f t="shared" si="183"/>
        <v>15950.092451351353</v>
      </c>
      <c r="P227" s="46"/>
    </row>
    <row r="228" spans="1:16" x14ac:dyDescent="0.25">
      <c r="A228" s="60">
        <f>IF(G228&lt;&gt;"",1+MAX($A$13:A227),"")</f>
        <v>144</v>
      </c>
      <c r="C228" s="16" t="s">
        <v>77</v>
      </c>
      <c r="D228" s="59" t="s">
        <v>207</v>
      </c>
      <c r="E228" s="31">
        <v>61.3</v>
      </c>
      <c r="F228" s="39">
        <f>VLOOKUP(H228,'PROJECT SUMMARY'!$C$26:$D$32,2,0)</f>
        <v>0.05</v>
      </c>
      <c r="G228" s="31">
        <f t="shared" si="186"/>
        <v>64.364999999999995</v>
      </c>
      <c r="H228" s="16" t="s">
        <v>11</v>
      </c>
      <c r="I228" s="62">
        <v>0.20640926640926641</v>
      </c>
      <c r="J228" s="71">
        <f t="shared" si="184"/>
        <v>13.285532432432431</v>
      </c>
      <c r="K228" s="23">
        <v>50</v>
      </c>
      <c r="L228" s="23">
        <f t="shared" si="185"/>
        <v>664.27662162162153</v>
      </c>
      <c r="M228" s="23">
        <v>85.378378378378372</v>
      </c>
      <c r="N228" s="23">
        <f t="shared" si="182"/>
        <v>5495.3793243243235</v>
      </c>
      <c r="O228" s="23">
        <f t="shared" si="183"/>
        <v>6159.6559459459449</v>
      </c>
      <c r="P228" s="46"/>
    </row>
    <row r="229" spans="1:16" x14ac:dyDescent="0.25">
      <c r="A229" s="60">
        <f>IF(G229&lt;&gt;"",1+MAX($A$13:A228),"")</f>
        <v>145</v>
      </c>
      <c r="C229" s="16" t="s">
        <v>77</v>
      </c>
      <c r="D229" s="59" t="s">
        <v>208</v>
      </c>
      <c r="E229" s="31">
        <v>106.56</v>
      </c>
      <c r="F229" s="39">
        <f>VLOOKUP(H229,'PROJECT SUMMARY'!$C$26:$D$32,2,0)</f>
        <v>0.05</v>
      </c>
      <c r="G229" s="31">
        <f t="shared" si="186"/>
        <v>111.88800000000001</v>
      </c>
      <c r="H229" s="16" t="s">
        <v>11</v>
      </c>
      <c r="I229" s="62">
        <v>0.36389189189189192</v>
      </c>
      <c r="J229" s="71">
        <f t="shared" si="184"/>
        <v>40.715136000000008</v>
      </c>
      <c r="K229" s="23">
        <v>50</v>
      </c>
      <c r="L229" s="23">
        <f t="shared" si="185"/>
        <v>2035.7568000000003</v>
      </c>
      <c r="M229" s="23">
        <v>105.36324324324325</v>
      </c>
      <c r="N229" s="23">
        <f t="shared" si="182"/>
        <v>11788.882560000002</v>
      </c>
      <c r="O229" s="23">
        <f t="shared" si="183"/>
        <v>13824.639360000003</v>
      </c>
      <c r="P229" s="46"/>
    </row>
    <row r="230" spans="1:16" x14ac:dyDescent="0.25">
      <c r="A230" s="60" t="str">
        <f>IF(G230&lt;&gt;"",1+MAX($A$13:A229),"")</f>
        <v/>
      </c>
      <c r="D230" s="59"/>
      <c r="I230" s="62"/>
      <c r="J230" s="71"/>
      <c r="P230" s="46"/>
    </row>
    <row r="231" spans="1:16" x14ac:dyDescent="0.25">
      <c r="A231" s="60">
        <f>IF(G231&lt;&gt;"",1+MAX($A$13:A230),"")</f>
        <v>146</v>
      </c>
      <c r="C231" s="16" t="s">
        <v>77</v>
      </c>
      <c r="D231" s="59" t="s">
        <v>213</v>
      </c>
      <c r="E231" s="31">
        <f>70.4*2</f>
        <v>140.80000000000001</v>
      </c>
      <c r="F231" s="39">
        <f>VLOOKUP(H231,'PROJECT SUMMARY'!$C$26:$D$32,2,0)</f>
        <v>0.05</v>
      </c>
      <c r="G231" s="31">
        <f t="shared" si="186"/>
        <v>147.84000000000003</v>
      </c>
      <c r="H231" s="16" t="s">
        <v>11</v>
      </c>
      <c r="I231" s="62">
        <v>4.3999999999999997E-2</v>
      </c>
      <c r="J231" s="71">
        <f t="shared" si="184"/>
        <v>6.5049600000000014</v>
      </c>
      <c r="K231" s="23">
        <v>50</v>
      </c>
      <c r="L231" s="23">
        <f t="shared" si="185"/>
        <v>325.24800000000005</v>
      </c>
      <c r="M231" s="23">
        <v>2.85</v>
      </c>
      <c r="N231" s="23">
        <f t="shared" si="182"/>
        <v>421.34400000000011</v>
      </c>
      <c r="O231" s="23">
        <f t="shared" si="183"/>
        <v>746.5920000000001</v>
      </c>
      <c r="P231" s="46"/>
    </row>
    <row r="232" spans="1:16" x14ac:dyDescent="0.25">
      <c r="A232" s="60">
        <f>IF(G232&lt;&gt;"",1+MAX($A$13:A231),"")</f>
        <v>147</v>
      </c>
      <c r="C232" s="16" t="s">
        <v>77</v>
      </c>
      <c r="D232" s="59" t="s">
        <v>203</v>
      </c>
      <c r="E232" s="31">
        <f>94.41*2</f>
        <v>188.82</v>
      </c>
      <c r="F232" s="39">
        <f>VLOOKUP(H232,'PROJECT SUMMARY'!$C$26:$D$32,2,0)</f>
        <v>0.05</v>
      </c>
      <c r="G232" s="31">
        <f t="shared" si="186"/>
        <v>198.261</v>
      </c>
      <c r="H232" s="16" t="s">
        <v>11</v>
      </c>
      <c r="I232" s="62">
        <v>3.7999999999999999E-2</v>
      </c>
      <c r="J232" s="71">
        <f t="shared" si="184"/>
        <v>7.5339179999999999</v>
      </c>
      <c r="K232" s="23">
        <v>50</v>
      </c>
      <c r="L232" s="23">
        <f t="shared" si="185"/>
        <v>376.69589999999999</v>
      </c>
      <c r="M232" s="23">
        <v>1.9</v>
      </c>
      <c r="N232" s="23">
        <f t="shared" si="182"/>
        <v>376.69589999999999</v>
      </c>
      <c r="O232" s="23">
        <f t="shared" si="183"/>
        <v>753.39179999999999</v>
      </c>
      <c r="P232" s="46"/>
    </row>
    <row r="233" spans="1:16" x14ac:dyDescent="0.25">
      <c r="A233" s="60">
        <f>IF(G233&lt;&gt;"",1+MAX($A$13:A232),"")</f>
        <v>148</v>
      </c>
      <c r="C233" s="16" t="s">
        <v>77</v>
      </c>
      <c r="D233" s="59" t="s">
        <v>198</v>
      </c>
      <c r="E233" s="31">
        <f>76.58*2</f>
        <v>153.16</v>
      </c>
      <c r="F233" s="39">
        <f>VLOOKUP(H233,'PROJECT SUMMARY'!$C$26:$D$32,2,0)</f>
        <v>0.05</v>
      </c>
      <c r="G233" s="31">
        <f t="shared" si="186"/>
        <v>160.81800000000001</v>
      </c>
      <c r="H233" s="16" t="s">
        <v>11</v>
      </c>
      <c r="I233" s="62">
        <v>6.5000000000000002E-2</v>
      </c>
      <c r="J233" s="71">
        <f t="shared" si="184"/>
        <v>10.453170000000002</v>
      </c>
      <c r="K233" s="23">
        <v>50</v>
      </c>
      <c r="L233" s="23">
        <f t="shared" si="185"/>
        <v>522.65850000000012</v>
      </c>
      <c r="M233" s="23">
        <v>7.5640909090909085</v>
      </c>
      <c r="N233" s="23">
        <f t="shared" si="182"/>
        <v>1216.4419718181819</v>
      </c>
      <c r="O233" s="23">
        <f t="shared" si="183"/>
        <v>1739.1004718181821</v>
      </c>
      <c r="P233" s="46"/>
    </row>
    <row r="234" spans="1:16" x14ac:dyDescent="0.25">
      <c r="A234" s="60">
        <f>IF(G234&lt;&gt;"",1+MAX($A$13:A233),"")</f>
        <v>149</v>
      </c>
      <c r="C234" s="16" t="s">
        <v>77</v>
      </c>
      <c r="D234" s="59" t="s">
        <v>201</v>
      </c>
      <c r="E234" s="31">
        <f>45.93*3</f>
        <v>137.79</v>
      </c>
      <c r="F234" s="39">
        <f>VLOOKUP(H234,'PROJECT SUMMARY'!$C$26:$D$32,2,0)</f>
        <v>0.05</v>
      </c>
      <c r="G234" s="31">
        <f t="shared" ref="G234:G235" si="187">E234*(1+F234)</f>
        <v>144.67949999999999</v>
      </c>
      <c r="H234" s="16" t="s">
        <v>11</v>
      </c>
      <c r="I234" s="62">
        <v>4.3999999999999997E-2</v>
      </c>
      <c r="J234" s="71">
        <f t="shared" si="184"/>
        <v>6.3658979999999996</v>
      </c>
      <c r="K234" s="23">
        <v>50</v>
      </c>
      <c r="L234" s="23">
        <f t="shared" si="185"/>
        <v>318.29489999999998</v>
      </c>
      <c r="M234" s="23">
        <v>2.85</v>
      </c>
      <c r="N234" s="23">
        <f t="shared" si="182"/>
        <v>412.33657499999998</v>
      </c>
      <c r="O234" s="23">
        <f t="shared" si="183"/>
        <v>730.63147499999991</v>
      </c>
      <c r="P234" s="46"/>
    </row>
    <row r="235" spans="1:16" x14ac:dyDescent="0.25">
      <c r="A235" s="60">
        <f>IF(G235&lt;&gt;"",1+MAX($A$13:A234),"")</f>
        <v>150</v>
      </c>
      <c r="C235" s="16" t="s">
        <v>77</v>
      </c>
      <c r="D235" s="59" t="s">
        <v>210</v>
      </c>
      <c r="E235" s="31">
        <f>60.12*4</f>
        <v>240.48</v>
      </c>
      <c r="F235" s="39">
        <f>VLOOKUP(H235,'PROJECT SUMMARY'!$C$26:$D$32,2,0)</f>
        <v>0.05</v>
      </c>
      <c r="G235" s="31">
        <f t="shared" si="187"/>
        <v>252.50399999999999</v>
      </c>
      <c r="H235" s="16" t="s">
        <v>11</v>
      </c>
      <c r="I235" s="62">
        <v>3.5999999999999997E-2</v>
      </c>
      <c r="J235" s="71">
        <f t="shared" si="184"/>
        <v>9.0901439999999987</v>
      </c>
      <c r="K235" s="23">
        <v>50</v>
      </c>
      <c r="L235" s="23">
        <f t="shared" si="185"/>
        <v>454.50719999999995</v>
      </c>
      <c r="M235" s="23">
        <v>1.35</v>
      </c>
      <c r="N235" s="23">
        <f t="shared" si="182"/>
        <v>340.88040000000001</v>
      </c>
      <c r="O235" s="23">
        <f t="shared" si="183"/>
        <v>795.38760000000002</v>
      </c>
      <c r="P235" s="46"/>
    </row>
    <row r="236" spans="1:16" x14ac:dyDescent="0.25">
      <c r="A236" s="60" t="str">
        <f>IF(G236&lt;&gt;"",1+MAX($A$13:A235),"")</f>
        <v/>
      </c>
      <c r="D236" s="59"/>
      <c r="I236" s="62"/>
      <c r="J236" s="71"/>
      <c r="P236" s="46"/>
    </row>
    <row r="237" spans="1:16" x14ac:dyDescent="0.25">
      <c r="A237" s="60">
        <f>IF(G237&lt;&gt;"",1+MAX($A$13:A236),"")</f>
        <v>151</v>
      </c>
      <c r="C237" s="16" t="s">
        <v>77</v>
      </c>
      <c r="D237" s="59" t="s">
        <v>214</v>
      </c>
      <c r="E237" s="31">
        <v>953.32</v>
      </c>
      <c r="F237" s="39">
        <f>VLOOKUP(H237,'PROJECT SUMMARY'!$C$26:$D$32,2,0)</f>
        <v>0.05</v>
      </c>
      <c r="G237" s="31">
        <f t="shared" si="179"/>
        <v>1000.9860000000001</v>
      </c>
      <c r="H237" s="16" t="s">
        <v>11</v>
      </c>
      <c r="I237" s="62">
        <v>0.18576833976833979</v>
      </c>
      <c r="J237" s="71">
        <f t="shared" ref="J237" si="188">I237*G237</f>
        <v>185.95150735135138</v>
      </c>
      <c r="K237" s="23">
        <v>50</v>
      </c>
      <c r="L237" s="23">
        <f t="shared" ref="L237" si="189">K237*J237</f>
        <v>9297.5753675675696</v>
      </c>
      <c r="M237" s="23">
        <v>53.788378378378376</v>
      </c>
      <c r="N237" s="23">
        <f t="shared" si="182"/>
        <v>53841.413719459459</v>
      </c>
      <c r="O237" s="23">
        <f t="shared" si="183"/>
        <v>63138.989087027032</v>
      </c>
      <c r="P237" s="46"/>
    </row>
    <row r="238" spans="1:16" x14ac:dyDescent="0.25">
      <c r="A238" s="60" t="str">
        <f>IF(G238&lt;&gt;"",1+MAX($A$13:A237),"")</f>
        <v/>
      </c>
      <c r="P238" s="46"/>
    </row>
    <row r="239" spans="1:16" x14ac:dyDescent="0.25">
      <c r="A239" s="60" t="str">
        <f>IF(G239&lt;&gt;"",1+MAX($A$13:A238),"")</f>
        <v/>
      </c>
      <c r="D239" s="58" t="s">
        <v>189</v>
      </c>
      <c r="P239" s="46"/>
    </row>
    <row r="240" spans="1:16" x14ac:dyDescent="0.25">
      <c r="A240" s="60">
        <f>IF(G240&lt;&gt;"",1+MAX($A$13:A239),"")</f>
        <v>152</v>
      </c>
      <c r="C240" s="16" t="s">
        <v>77</v>
      </c>
      <c r="D240" s="59" t="s">
        <v>215</v>
      </c>
      <c r="E240" s="31">
        <f>645.3/1</f>
        <v>645.29999999999995</v>
      </c>
      <c r="F240" s="39">
        <f>VLOOKUP(H240,'PROJECT SUMMARY'!$C$26:$D$32,2,0)</f>
        <v>0.05</v>
      </c>
      <c r="G240" s="31">
        <f t="shared" ref="G240:G244" si="190">E240*(1+F240)</f>
        <v>677.56499999999994</v>
      </c>
      <c r="H240" s="16" t="s">
        <v>11</v>
      </c>
      <c r="I240" s="62">
        <v>3.5999999999999997E-2</v>
      </c>
      <c r="J240" s="71">
        <f t="shared" ref="J240:J244" si="191">I240*G240</f>
        <v>24.392339999999997</v>
      </c>
      <c r="K240" s="23">
        <v>50</v>
      </c>
      <c r="L240" s="23">
        <f t="shared" ref="L240:L244" si="192">K240*J240</f>
        <v>1219.617</v>
      </c>
      <c r="M240" s="23">
        <v>1.35</v>
      </c>
      <c r="N240" s="23">
        <f t="shared" ref="N240:N244" si="193">M240*G240</f>
        <v>914.71275000000003</v>
      </c>
      <c r="O240" s="23">
        <f t="shared" ref="O240:O244" si="194">L240+N240</f>
        <v>2134.3297499999999</v>
      </c>
      <c r="P240" s="46"/>
    </row>
    <row r="241" spans="1:16" x14ac:dyDescent="0.25">
      <c r="A241" s="60">
        <f>IF(G241&lt;&gt;"",1+MAX($A$13:A240),"")</f>
        <v>153</v>
      </c>
      <c r="C241" s="16" t="s">
        <v>77</v>
      </c>
      <c r="D241" s="59" t="s">
        <v>217</v>
      </c>
      <c r="E241" s="31">
        <f>200.84/1.33</f>
        <v>151.00751879699249</v>
      </c>
      <c r="F241" s="39">
        <f>VLOOKUP(H241,'PROJECT SUMMARY'!$C$26:$D$32,2,0)</f>
        <v>0.05</v>
      </c>
      <c r="G241" s="31">
        <f t="shared" si="190"/>
        <v>158.55789473684212</v>
      </c>
      <c r="H241" s="16" t="s">
        <v>11</v>
      </c>
      <c r="I241" s="62">
        <v>4.2000000000000003E-2</v>
      </c>
      <c r="J241" s="71">
        <f t="shared" si="191"/>
        <v>6.6594315789473697</v>
      </c>
      <c r="K241" s="23">
        <v>50</v>
      </c>
      <c r="L241" s="23">
        <f t="shared" si="192"/>
        <v>332.97157894736847</v>
      </c>
      <c r="M241" s="23">
        <v>1.88</v>
      </c>
      <c r="N241" s="23">
        <f t="shared" si="193"/>
        <v>298.08884210526315</v>
      </c>
      <c r="O241" s="23">
        <f t="shared" si="194"/>
        <v>631.06042105263168</v>
      </c>
      <c r="P241" s="46"/>
    </row>
    <row r="242" spans="1:16" x14ac:dyDescent="0.25">
      <c r="A242" s="60">
        <f>IF(G242&lt;&gt;"",1+MAX($A$13:A241),"")</f>
        <v>154</v>
      </c>
      <c r="C242" s="16" t="s">
        <v>77</v>
      </c>
      <c r="D242" s="59" t="s">
        <v>200</v>
      </c>
      <c r="E242" s="31">
        <f>1143.5/1.33</f>
        <v>859.77443609022555</v>
      </c>
      <c r="F242" s="39">
        <f>VLOOKUP(H242,'PROJECT SUMMARY'!$C$26:$D$32,2,0)</f>
        <v>0.05</v>
      </c>
      <c r="G242" s="31">
        <f>E242*(1+F242)</f>
        <v>902.76315789473688</v>
      </c>
      <c r="H242" s="16" t="s">
        <v>11</v>
      </c>
      <c r="I242" s="62">
        <v>4.3999999999999997E-2</v>
      </c>
      <c r="J242" s="71">
        <f t="shared" si="191"/>
        <v>39.721578947368421</v>
      </c>
      <c r="K242" s="23">
        <v>50</v>
      </c>
      <c r="L242" s="23">
        <f t="shared" si="192"/>
        <v>1986.078947368421</v>
      </c>
      <c r="M242" s="23">
        <v>2.85</v>
      </c>
      <c r="N242" s="23">
        <f>M242*G242</f>
        <v>2572.875</v>
      </c>
      <c r="O242" s="23">
        <f>L242+N242</f>
        <v>4558.9539473684208</v>
      </c>
      <c r="P242" s="46"/>
    </row>
    <row r="243" spans="1:16" x14ac:dyDescent="0.25">
      <c r="A243" s="60">
        <f>IF(G243&lt;&gt;"",1+MAX($A$13:A242),"")</f>
        <v>155</v>
      </c>
      <c r="C243" s="16" t="s">
        <v>77</v>
      </c>
      <c r="D243" s="59" t="s">
        <v>190</v>
      </c>
      <c r="E243" s="31">
        <f>3484.74/1.33</f>
        <v>2620.1052631578946</v>
      </c>
      <c r="F243" s="39">
        <f>VLOOKUP(H243,'PROJECT SUMMARY'!$C$26:$D$32,2,0)</f>
        <v>0.05</v>
      </c>
      <c r="G243" s="31">
        <f t="shared" si="190"/>
        <v>2751.1105263157892</v>
      </c>
      <c r="H243" s="16" t="s">
        <v>11</v>
      </c>
      <c r="I243" s="62">
        <v>3.7999999999999999E-2</v>
      </c>
      <c r="J243" s="71">
        <f t="shared" si="191"/>
        <v>104.54219999999999</v>
      </c>
      <c r="K243" s="23">
        <v>50</v>
      </c>
      <c r="L243" s="23">
        <f t="shared" si="192"/>
        <v>5227.1099999999997</v>
      </c>
      <c r="M243" s="23">
        <v>4.0041666666666664</v>
      </c>
      <c r="N243" s="23">
        <f t="shared" si="193"/>
        <v>11015.905065789471</v>
      </c>
      <c r="O243" s="23">
        <f t="shared" si="194"/>
        <v>16243.01506578947</v>
      </c>
      <c r="P243" s="46"/>
    </row>
    <row r="244" spans="1:16" x14ac:dyDescent="0.25">
      <c r="A244" s="60">
        <f>IF(G244&lt;&gt;"",1+MAX($A$13:A243),"")</f>
        <v>156</v>
      </c>
      <c r="C244" s="16" t="s">
        <v>77</v>
      </c>
      <c r="D244" s="59" t="s">
        <v>191</v>
      </c>
      <c r="E244" s="31">
        <f>533.79/1.33</f>
        <v>401.3458646616541</v>
      </c>
      <c r="F244" s="39">
        <f>VLOOKUP(H244,'PROJECT SUMMARY'!$C$26:$D$32,2,0)</f>
        <v>0.05</v>
      </c>
      <c r="G244" s="31">
        <f t="shared" si="190"/>
        <v>421.41315789473686</v>
      </c>
      <c r="H244" s="16" t="s">
        <v>11</v>
      </c>
      <c r="I244" s="62">
        <v>3.7999999999999999E-2</v>
      </c>
      <c r="J244" s="71">
        <f t="shared" si="191"/>
        <v>16.0137</v>
      </c>
      <c r="K244" s="23">
        <v>50</v>
      </c>
      <c r="L244" s="23">
        <f t="shared" si="192"/>
        <v>800.68499999999995</v>
      </c>
      <c r="M244" s="23">
        <v>4.0041666666666664</v>
      </c>
      <c r="N244" s="23">
        <f t="shared" si="193"/>
        <v>1687.408519736842</v>
      </c>
      <c r="O244" s="23">
        <f t="shared" si="194"/>
        <v>2488.0935197368417</v>
      </c>
      <c r="P244" s="46"/>
    </row>
    <row r="245" spans="1:16" x14ac:dyDescent="0.25">
      <c r="A245" s="60" t="str">
        <f>IF(G245&lt;&gt;"",1+MAX($A$13:A244),"")</f>
        <v/>
      </c>
      <c r="P245" s="46"/>
    </row>
    <row r="246" spans="1:16" x14ac:dyDescent="0.25">
      <c r="A246" s="60" t="str">
        <f>IF(G246&lt;&gt;"",1+MAX($A$13:A245),"")</f>
        <v/>
      </c>
      <c r="D246" s="58" t="s">
        <v>96</v>
      </c>
      <c r="P246" s="46"/>
    </row>
    <row r="247" spans="1:16" x14ac:dyDescent="0.25">
      <c r="A247" s="60">
        <f>IF(G247&lt;&gt;"",1+MAX($A$13:A246),"")</f>
        <v>157</v>
      </c>
      <c r="C247" s="16" t="s">
        <v>77</v>
      </c>
      <c r="D247" s="59" t="s">
        <v>338</v>
      </c>
      <c r="E247" s="31">
        <v>5975</v>
      </c>
      <c r="F247" s="39">
        <f>VLOOKUP(H247,'PROJECT SUMMARY'!$C$26:$D$32,2,0)</f>
        <v>0.05</v>
      </c>
      <c r="G247" s="31">
        <f t="shared" si="174"/>
        <v>6273.75</v>
      </c>
      <c r="H247" s="16" t="s">
        <v>12</v>
      </c>
      <c r="I247" s="62">
        <v>2.5000000000000001E-2</v>
      </c>
      <c r="J247" s="71">
        <f t="shared" ref="J247:J250" si="195">I247*G247</f>
        <v>156.84375</v>
      </c>
      <c r="K247" s="23">
        <v>50</v>
      </c>
      <c r="L247" s="23">
        <f t="shared" ref="L247:L250" si="196">K247*J247</f>
        <v>7842.1875</v>
      </c>
      <c r="M247" s="23">
        <v>1.22</v>
      </c>
      <c r="N247" s="23">
        <f t="shared" si="177"/>
        <v>7653.9749999999995</v>
      </c>
      <c r="O247" s="23">
        <f t="shared" si="178"/>
        <v>15496.162499999999</v>
      </c>
      <c r="P247" s="46"/>
    </row>
    <row r="248" spans="1:16" x14ac:dyDescent="0.25">
      <c r="A248" s="60">
        <f>IF(G248&lt;&gt;"",1+MAX($A$13:A247),"")</f>
        <v>158</v>
      </c>
      <c r="C248" s="16" t="s">
        <v>77</v>
      </c>
      <c r="D248" s="59" t="s">
        <v>339</v>
      </c>
      <c r="E248" s="31">
        <v>8172.2830000000004</v>
      </c>
      <c r="F248" s="39">
        <f>VLOOKUP(H248,'PROJECT SUMMARY'!$C$26:$D$32,2,0)</f>
        <v>0.05</v>
      </c>
      <c r="G248" s="31">
        <f t="shared" ref="G248" si="197">E248*(1+F248)</f>
        <v>8580.8971500000007</v>
      </c>
      <c r="H248" s="16" t="s">
        <v>12</v>
      </c>
      <c r="I248" s="62">
        <v>2.5000000000000001E-2</v>
      </c>
      <c r="J248" s="71">
        <f t="shared" si="195"/>
        <v>214.52242875000002</v>
      </c>
      <c r="K248" s="23">
        <v>50</v>
      </c>
      <c r="L248" s="23">
        <f t="shared" si="196"/>
        <v>10726.121437500002</v>
      </c>
      <c r="M248" s="23">
        <v>1.22</v>
      </c>
      <c r="N248" s="23">
        <f t="shared" si="177"/>
        <v>10468.694523</v>
      </c>
      <c r="O248" s="23">
        <f t="shared" si="178"/>
        <v>21194.815960500004</v>
      </c>
      <c r="P248" s="46"/>
    </row>
    <row r="249" spans="1:16" x14ac:dyDescent="0.25">
      <c r="A249" s="60">
        <f>IF(G249&lt;&gt;"",1+MAX($A$13:A248),"")</f>
        <v>159</v>
      </c>
      <c r="C249" s="16" t="s">
        <v>77</v>
      </c>
      <c r="D249" s="59" t="s">
        <v>216</v>
      </c>
      <c r="E249" s="31">
        <v>397.23</v>
      </c>
      <c r="F249" s="39">
        <f>VLOOKUP(H249,'PROJECT SUMMARY'!$C$26:$D$32,2,0)</f>
        <v>0.05</v>
      </c>
      <c r="G249" s="31">
        <f t="shared" ref="G249" si="198">E249*(1+F249)</f>
        <v>417.09150000000005</v>
      </c>
      <c r="H249" s="16" t="s">
        <v>12</v>
      </c>
      <c r="I249" s="62">
        <v>2.5000000000000001E-2</v>
      </c>
      <c r="J249" s="71">
        <f t="shared" si="195"/>
        <v>10.427287500000002</v>
      </c>
      <c r="K249" s="23">
        <v>50</v>
      </c>
      <c r="L249" s="23">
        <f t="shared" si="196"/>
        <v>521.36437500000011</v>
      </c>
      <c r="M249" s="23">
        <v>1.625</v>
      </c>
      <c r="N249" s="23">
        <f t="shared" si="177"/>
        <v>677.77368750000005</v>
      </c>
      <c r="O249" s="23">
        <f t="shared" si="178"/>
        <v>1199.1380625000002</v>
      </c>
      <c r="P249" s="46"/>
    </row>
    <row r="250" spans="1:16" x14ac:dyDescent="0.25">
      <c r="A250" s="60">
        <f>IF(G250&lt;&gt;"",1+MAX($A$13:A249),"")</f>
        <v>160</v>
      </c>
      <c r="C250" s="16" t="s">
        <v>77</v>
      </c>
      <c r="D250" s="105" t="s">
        <v>224</v>
      </c>
      <c r="E250" s="31">
        <v>7370.74</v>
      </c>
      <c r="F250" s="39">
        <f>VLOOKUP(H250,'PROJECT SUMMARY'!$C$26:$D$32,2,0)</f>
        <v>0.05</v>
      </c>
      <c r="G250" s="31">
        <f t="shared" ref="G250" si="199">E250*(1+F250)</f>
        <v>7739.277</v>
      </c>
      <c r="H250" s="16" t="s">
        <v>12</v>
      </c>
      <c r="I250" s="62">
        <v>2.5000000000000001E-2</v>
      </c>
      <c r="J250" s="71">
        <f t="shared" si="195"/>
        <v>193.48192500000002</v>
      </c>
      <c r="K250" s="23">
        <v>50</v>
      </c>
      <c r="L250" s="23">
        <f t="shared" si="196"/>
        <v>9674.0962500000005</v>
      </c>
      <c r="M250" s="23">
        <v>4.6969696969696972</v>
      </c>
      <c r="N250" s="23">
        <f t="shared" si="177"/>
        <v>36351.149545454551</v>
      </c>
      <c r="O250" s="23">
        <f t="shared" si="178"/>
        <v>46025.245795454553</v>
      </c>
      <c r="P250" s="46"/>
    </row>
    <row r="251" spans="1:16" x14ac:dyDescent="0.25">
      <c r="A251" s="60" t="str">
        <f>IF(G251&lt;&gt;"",1+MAX($A$13:A250),"")</f>
        <v/>
      </c>
      <c r="P251" s="46"/>
    </row>
    <row r="252" spans="1:16" x14ac:dyDescent="0.25">
      <c r="A252" s="60" t="str">
        <f>IF(G252&lt;&gt;"",1+MAX($A$13:A251),"")</f>
        <v/>
      </c>
      <c r="D252" s="58" t="s">
        <v>324</v>
      </c>
      <c r="P252" s="46"/>
    </row>
    <row r="253" spans="1:16" x14ac:dyDescent="0.25">
      <c r="A253" s="60">
        <f>IF(G253&lt;&gt;"",1+MAX($A$13:A252),"")</f>
        <v>161</v>
      </c>
      <c r="C253" s="16" t="s">
        <v>77</v>
      </c>
      <c r="D253" s="59" t="s">
        <v>325</v>
      </c>
      <c r="E253" s="31">
        <v>225.23</v>
      </c>
      <c r="F253" s="39">
        <f>VLOOKUP(H253,'PROJECT SUMMARY'!$C$26:$D$32,2,0)</f>
        <v>0.05</v>
      </c>
      <c r="G253" s="31">
        <f t="shared" ref="G253:G254" si="200">E253*(1+F253)</f>
        <v>236.4915</v>
      </c>
      <c r="H253" s="16" t="s">
        <v>11</v>
      </c>
      <c r="I253" s="62">
        <v>2.5000000000000001E-2</v>
      </c>
      <c r="J253" s="71">
        <f t="shared" ref="J253:J254" si="201">I253*G253</f>
        <v>5.9122875000000006</v>
      </c>
      <c r="K253" s="23">
        <v>50</v>
      </c>
      <c r="L253" s="23">
        <f t="shared" ref="L253:L254" si="202">K253*J253</f>
        <v>295.61437500000005</v>
      </c>
      <c r="M253" s="23">
        <v>3.4</v>
      </c>
      <c r="N253" s="23">
        <f t="shared" ref="N253:N254" si="203">M253*G253</f>
        <v>804.0711</v>
      </c>
      <c r="O253" s="23">
        <f t="shared" ref="O253:O254" si="204">L253+N253</f>
        <v>1099.685475</v>
      </c>
      <c r="P253" s="46"/>
    </row>
    <row r="254" spans="1:16" x14ac:dyDescent="0.25">
      <c r="A254" s="60">
        <f>IF(G254&lt;&gt;"",1+MAX($A$13:A253),"")</f>
        <v>162</v>
      </c>
      <c r="C254" s="16" t="s">
        <v>77</v>
      </c>
      <c r="D254" s="59" t="s">
        <v>326</v>
      </c>
      <c r="E254" s="31">
        <v>278.79000000000002</v>
      </c>
      <c r="F254" s="39">
        <f>VLOOKUP(H254,'PROJECT SUMMARY'!$C$26:$D$32,2,0)</f>
        <v>0.05</v>
      </c>
      <c r="G254" s="31">
        <f t="shared" si="200"/>
        <v>292.72950000000003</v>
      </c>
      <c r="H254" s="16" t="s">
        <v>11</v>
      </c>
      <c r="I254" s="62">
        <v>2.5000000000000001E-2</v>
      </c>
      <c r="J254" s="71">
        <f t="shared" si="201"/>
        <v>7.3182375000000013</v>
      </c>
      <c r="K254" s="23">
        <v>50</v>
      </c>
      <c r="L254" s="23">
        <f t="shared" si="202"/>
        <v>365.91187500000007</v>
      </c>
      <c r="M254" s="23">
        <v>3.4</v>
      </c>
      <c r="N254" s="23">
        <f t="shared" si="203"/>
        <v>995.28030000000012</v>
      </c>
      <c r="O254" s="23">
        <f t="shared" si="204"/>
        <v>1361.1921750000001</v>
      </c>
      <c r="P254" s="46"/>
    </row>
    <row r="255" spans="1:16" x14ac:dyDescent="0.25">
      <c r="A255" s="60" t="str">
        <f>IF(G255&lt;&gt;"",1+MAX($A$13:A254),"")</f>
        <v/>
      </c>
      <c r="P255" s="46"/>
    </row>
    <row r="256" spans="1:16" x14ac:dyDescent="0.25">
      <c r="A256" s="60" t="str">
        <f>IF(G256&lt;&gt;"",1+MAX($A$13:A255),"")</f>
        <v/>
      </c>
      <c r="D256" s="58" t="s">
        <v>340</v>
      </c>
      <c r="P256" s="46"/>
    </row>
    <row r="257" spans="1:16" x14ac:dyDescent="0.25">
      <c r="A257" s="60">
        <f>IF(G257&lt;&gt;"",1+MAX($A$13:A256),"")</f>
        <v>163</v>
      </c>
      <c r="C257" s="16" t="s">
        <v>77</v>
      </c>
      <c r="D257" s="59" t="s">
        <v>341</v>
      </c>
      <c r="E257" s="31">
        <v>7.28</v>
      </c>
      <c r="F257" s="39">
        <f>VLOOKUP(H257,'PROJECT SUMMARY'!$C$26:$D$32,2,0)</f>
        <v>0.05</v>
      </c>
      <c r="G257" s="31">
        <f t="shared" si="174"/>
        <v>7.644000000000001</v>
      </c>
      <c r="H257" s="16" t="s">
        <v>11</v>
      </c>
      <c r="I257" s="62">
        <v>1.05</v>
      </c>
      <c r="J257" s="71">
        <f t="shared" ref="J257" si="205">I257*G257</f>
        <v>8.0262000000000011</v>
      </c>
      <c r="K257" s="23">
        <v>50</v>
      </c>
      <c r="L257" s="23">
        <f t="shared" ref="L257" si="206">K257*J257</f>
        <v>401.31000000000006</v>
      </c>
      <c r="M257" s="23">
        <v>199.5</v>
      </c>
      <c r="N257" s="23">
        <f t="shared" si="177"/>
        <v>1524.9780000000003</v>
      </c>
      <c r="O257" s="23">
        <f t="shared" si="178"/>
        <v>1926.2880000000005</v>
      </c>
      <c r="P257" s="46"/>
    </row>
    <row r="258" spans="1:16" ht="16.5" thickBot="1" x14ac:dyDescent="0.3">
      <c r="A258" s="60" t="str">
        <f>IF(G258&lt;&gt;"",1+MAX($A$13:A257),"")</f>
        <v/>
      </c>
      <c r="P258" s="46"/>
    </row>
    <row r="259" spans="1:16" ht="16.5" thickBot="1" x14ac:dyDescent="0.3">
      <c r="A259" s="87" t="str">
        <f>IF(G259&lt;&gt;"",1+MAX($A$13:A258),"")</f>
        <v/>
      </c>
      <c r="B259" s="83"/>
      <c r="C259" s="83" t="s">
        <v>98</v>
      </c>
      <c r="D259" s="81" t="s">
        <v>99</v>
      </c>
      <c r="E259" s="85"/>
      <c r="F259" s="86"/>
      <c r="G259" s="85"/>
      <c r="H259" s="85"/>
      <c r="I259" s="81"/>
      <c r="J259" s="81"/>
      <c r="K259" s="82"/>
      <c r="L259" s="82"/>
      <c r="M259" s="82"/>
      <c r="N259" s="82"/>
      <c r="O259" s="84"/>
      <c r="P259" s="88">
        <f>SUM(O260:O295)</f>
        <v>357162.60687313107</v>
      </c>
    </row>
    <row r="260" spans="1:16" x14ac:dyDescent="0.25">
      <c r="A260" s="60" t="str">
        <f>IF(G260&lt;&gt;"",1+MAX($A$13:A259),"")</f>
        <v/>
      </c>
      <c r="P260" s="46"/>
    </row>
    <row r="261" spans="1:16" x14ac:dyDescent="0.25">
      <c r="A261" s="60" t="str">
        <f>IF(G261&lt;&gt;"",1+MAX($A$13:A260),"")</f>
        <v/>
      </c>
      <c r="D261" s="58" t="s">
        <v>100</v>
      </c>
      <c r="P261" s="46"/>
    </row>
    <row r="262" spans="1:16" x14ac:dyDescent="0.25">
      <c r="A262" s="60">
        <f>IF(G262&lt;&gt;"",1+MAX($A$13:A261),"")</f>
        <v>164</v>
      </c>
      <c r="C262" s="16" t="s">
        <v>98</v>
      </c>
      <c r="D262" s="59" t="s">
        <v>104</v>
      </c>
      <c r="E262" s="31">
        <v>7510.87</v>
      </c>
      <c r="F262" s="39">
        <f>VLOOKUP(H262,'PROJECT SUMMARY'!$C$26:$D$32,2,0)</f>
        <v>0.05</v>
      </c>
      <c r="G262" s="31">
        <f>E262*(1+F262)</f>
        <v>7886.4135000000006</v>
      </c>
      <c r="H262" s="16" t="s">
        <v>12</v>
      </c>
      <c r="I262" s="62">
        <v>0.08</v>
      </c>
      <c r="J262" s="71">
        <f>I262*G262</f>
        <v>630.91308000000004</v>
      </c>
      <c r="K262" s="23">
        <v>58</v>
      </c>
      <c r="L262" s="23">
        <f>K262*J262</f>
        <v>36592.958640000004</v>
      </c>
      <c r="M262" s="23">
        <v>4.2</v>
      </c>
      <c r="N262" s="23">
        <f>M262*G262</f>
        <v>33122.936700000006</v>
      </c>
      <c r="O262" s="23">
        <f>L262+N262</f>
        <v>69715.895340000017</v>
      </c>
      <c r="P262" s="46"/>
    </row>
    <row r="263" spans="1:16" x14ac:dyDescent="0.25">
      <c r="A263" s="60">
        <f>IF(G263&lt;&gt;"",1+MAX($A$13:A262),"")</f>
        <v>165</v>
      </c>
      <c r="C263" s="16" t="s">
        <v>98</v>
      </c>
      <c r="D263" s="59" t="s">
        <v>352</v>
      </c>
      <c r="E263" s="31">
        <v>7999</v>
      </c>
      <c r="F263" s="39">
        <f>VLOOKUP(H263,'PROJECT SUMMARY'!$C$26:$D$32,2,0)</f>
        <v>0.05</v>
      </c>
      <c r="G263" s="31">
        <f t="shared" ref="G263:G269" si="207">E263*(1+F263)</f>
        <v>8398.9500000000007</v>
      </c>
      <c r="H263" s="16" t="s">
        <v>12</v>
      </c>
      <c r="I263" s="62">
        <v>0.08</v>
      </c>
      <c r="J263" s="71">
        <f t="shared" ref="J263:J267" si="208">I263*G263</f>
        <v>671.91600000000005</v>
      </c>
      <c r="K263" s="23">
        <v>58</v>
      </c>
      <c r="L263" s="23">
        <f t="shared" ref="L263:L267" si="209">K263*J263</f>
        <v>38971.128000000004</v>
      </c>
      <c r="M263" s="23">
        <v>0.21522222222222223</v>
      </c>
      <c r="N263" s="23">
        <f t="shared" ref="N263:N278" si="210">M263*G263</f>
        <v>1807.6406833333335</v>
      </c>
      <c r="O263" s="23">
        <f t="shared" ref="O263:O278" si="211">L263+N263</f>
        <v>40778.768683333336</v>
      </c>
      <c r="P263" s="46"/>
    </row>
    <row r="264" spans="1:16" x14ac:dyDescent="0.25">
      <c r="A264" s="60">
        <f>IF(G264&lt;&gt;"",1+MAX($A$13:A263),"")</f>
        <v>166</v>
      </c>
      <c r="C264" s="16" t="s">
        <v>98</v>
      </c>
      <c r="D264" s="59" t="s">
        <v>353</v>
      </c>
      <c r="E264" s="31">
        <v>7999</v>
      </c>
      <c r="F264" s="39">
        <f>VLOOKUP(H264,'PROJECT SUMMARY'!$C$26:$D$32,2,0)</f>
        <v>0.05</v>
      </c>
      <c r="G264" s="31">
        <f t="shared" si="207"/>
        <v>8398.9500000000007</v>
      </c>
      <c r="H264" s="16" t="s">
        <v>12</v>
      </c>
      <c r="I264" s="62">
        <v>0.05</v>
      </c>
      <c r="J264" s="71">
        <f t="shared" si="208"/>
        <v>419.94750000000005</v>
      </c>
      <c r="K264" s="23">
        <v>58</v>
      </c>
      <c r="L264" s="23">
        <f t="shared" si="209"/>
        <v>24356.955000000002</v>
      </c>
      <c r="M264" s="23">
        <v>0.7</v>
      </c>
      <c r="N264" s="23">
        <f t="shared" si="210"/>
        <v>5879.2650000000003</v>
      </c>
      <c r="O264" s="23">
        <f t="shared" si="211"/>
        <v>30236.22</v>
      </c>
      <c r="P264" s="46"/>
    </row>
    <row r="265" spans="1:16" x14ac:dyDescent="0.25">
      <c r="A265" s="60">
        <f>IF(G265&lt;&gt;"",1+MAX($A$13:A264),"")</f>
        <v>167</v>
      </c>
      <c r="C265" s="16" t="s">
        <v>98</v>
      </c>
      <c r="D265" s="59" t="s">
        <v>354</v>
      </c>
      <c r="E265" s="31">
        <f>7999*3</f>
        <v>23997</v>
      </c>
      <c r="F265" s="39">
        <f>VLOOKUP(H265,'PROJECT SUMMARY'!$C$26:$D$32,2,0)</f>
        <v>0.05</v>
      </c>
      <c r="G265" s="31">
        <f t="shared" si="207"/>
        <v>25196.850000000002</v>
      </c>
      <c r="H265" s="16" t="s">
        <v>12</v>
      </c>
      <c r="I265" s="62">
        <v>0.02</v>
      </c>
      <c r="J265" s="71">
        <f t="shared" si="208"/>
        <v>503.93700000000007</v>
      </c>
      <c r="K265" s="23">
        <v>58</v>
      </c>
      <c r="L265" s="23">
        <f t="shared" si="209"/>
        <v>29228.346000000005</v>
      </c>
      <c r="M265" s="23">
        <v>2.0999999999999996</v>
      </c>
      <c r="N265" s="23">
        <f t="shared" si="210"/>
        <v>52913.384999999995</v>
      </c>
      <c r="O265" s="23">
        <f t="shared" si="211"/>
        <v>82141.731</v>
      </c>
      <c r="P265" s="46"/>
    </row>
    <row r="266" spans="1:16" x14ac:dyDescent="0.25">
      <c r="A266" s="60">
        <f>IF(G266&lt;&gt;"",1+MAX($A$13:A265),"")</f>
        <v>168</v>
      </c>
      <c r="C266" s="16" t="s">
        <v>98</v>
      </c>
      <c r="D266" s="59" t="s">
        <v>355</v>
      </c>
      <c r="E266" s="31">
        <v>7999</v>
      </c>
      <c r="F266" s="39">
        <f>VLOOKUP(H266,'PROJECT SUMMARY'!$C$26:$D$32,2,0)</f>
        <v>0.05</v>
      </c>
      <c r="G266" s="31">
        <f t="shared" si="207"/>
        <v>8398.9500000000007</v>
      </c>
      <c r="H266" s="16" t="s">
        <v>12</v>
      </c>
      <c r="I266" s="62">
        <v>0.03</v>
      </c>
      <c r="J266" s="71">
        <f t="shared" si="208"/>
        <v>251.96850000000001</v>
      </c>
      <c r="K266" s="23">
        <v>58</v>
      </c>
      <c r="L266" s="23">
        <f t="shared" si="209"/>
        <v>14614.173000000001</v>
      </c>
      <c r="M266" s="23">
        <v>0.44</v>
      </c>
      <c r="N266" s="23">
        <f t="shared" si="210"/>
        <v>3695.5380000000005</v>
      </c>
      <c r="O266" s="23">
        <f t="shared" si="211"/>
        <v>18309.711000000003</v>
      </c>
      <c r="P266" s="46"/>
    </row>
    <row r="267" spans="1:16" x14ac:dyDescent="0.25">
      <c r="A267" s="60">
        <f>IF(G267&lt;&gt;"",1+MAX($A$13:A266),"")</f>
        <v>169</v>
      </c>
      <c r="C267" s="16" t="s">
        <v>98</v>
      </c>
      <c r="D267" s="59" t="s">
        <v>356</v>
      </c>
      <c r="E267" s="31">
        <v>488.02</v>
      </c>
      <c r="F267" s="39">
        <f>VLOOKUP(H267,'PROJECT SUMMARY'!$C$26:$D$32,2,0)</f>
        <v>0.05</v>
      </c>
      <c r="G267" s="31">
        <f t="shared" ref="G267" si="212">E267*(1+F267)</f>
        <v>512.42100000000005</v>
      </c>
      <c r="H267" s="16" t="s">
        <v>12</v>
      </c>
      <c r="I267" s="62">
        <v>2.8000000000000001E-2</v>
      </c>
      <c r="J267" s="71">
        <f t="shared" si="208"/>
        <v>14.347788000000001</v>
      </c>
      <c r="K267" s="23">
        <v>58</v>
      </c>
      <c r="L267" s="23">
        <f t="shared" si="209"/>
        <v>832.17170400000009</v>
      </c>
      <c r="M267" s="23">
        <v>0.89</v>
      </c>
      <c r="N267" s="23">
        <f t="shared" si="210"/>
        <v>456.05469000000005</v>
      </c>
      <c r="O267" s="23">
        <f t="shared" si="211"/>
        <v>1288.2263940000003</v>
      </c>
      <c r="P267" s="46"/>
    </row>
    <row r="268" spans="1:16" x14ac:dyDescent="0.25">
      <c r="A268" s="60" t="str">
        <f>IF(G268&lt;&gt;"",1+MAX($A$13:A267),"")</f>
        <v/>
      </c>
      <c r="D268" s="59"/>
      <c r="I268" s="62"/>
      <c r="J268" s="71"/>
      <c r="P268" s="46"/>
    </row>
    <row r="269" spans="1:16" x14ac:dyDescent="0.25">
      <c r="A269" s="60">
        <f>IF(G269&lt;&gt;"",1+MAX($A$13:A268),"")</f>
        <v>170</v>
      </c>
      <c r="C269" s="16" t="s">
        <v>98</v>
      </c>
      <c r="D269" s="59" t="s">
        <v>342</v>
      </c>
      <c r="E269" s="31">
        <v>2</v>
      </c>
      <c r="F269" s="39">
        <f>VLOOKUP(H269,'PROJECT SUMMARY'!$C$26:$D$32,2,0)</f>
        <v>0</v>
      </c>
      <c r="G269" s="31">
        <f t="shared" si="207"/>
        <v>2</v>
      </c>
      <c r="H269" s="16" t="s">
        <v>10</v>
      </c>
      <c r="I269" s="62">
        <v>2.25</v>
      </c>
      <c r="J269" s="71">
        <f t="shared" ref="J269:J278" si="213">I269*G269</f>
        <v>4.5</v>
      </c>
      <c r="K269" s="23">
        <v>58</v>
      </c>
      <c r="L269" s="23">
        <f t="shared" ref="L269:L278" si="214">K269*J269</f>
        <v>261</v>
      </c>
      <c r="M269" s="23">
        <v>362</v>
      </c>
      <c r="N269" s="23">
        <f t="shared" si="210"/>
        <v>724</v>
      </c>
      <c r="O269" s="23">
        <f t="shared" si="211"/>
        <v>985</v>
      </c>
      <c r="P269" s="46"/>
    </row>
    <row r="270" spans="1:16" x14ac:dyDescent="0.25">
      <c r="A270" s="60">
        <f>IF(G270&lt;&gt;"",1+MAX($A$13:A269),"")</f>
        <v>171</v>
      </c>
      <c r="C270" s="16" t="s">
        <v>98</v>
      </c>
      <c r="D270" s="59" t="s">
        <v>343</v>
      </c>
      <c r="E270" s="31">
        <v>657.28</v>
      </c>
      <c r="F270" s="39">
        <f>VLOOKUP(H270,'PROJECT SUMMARY'!$C$26:$D$32,2,0)</f>
        <v>0.05</v>
      </c>
      <c r="G270" s="31">
        <f t="shared" ref="G270:G277" si="215">E270*(1+F270)</f>
        <v>690.14400000000001</v>
      </c>
      <c r="H270" s="16" t="s">
        <v>11</v>
      </c>
      <c r="I270" s="62">
        <v>3.5999999999999997E-2</v>
      </c>
      <c r="J270" s="71">
        <f t="shared" si="213"/>
        <v>24.845184</v>
      </c>
      <c r="K270" s="23">
        <v>58</v>
      </c>
      <c r="L270" s="23">
        <f t="shared" si="214"/>
        <v>1441.0206719999999</v>
      </c>
      <c r="M270" s="23">
        <v>5.6618181818181821</v>
      </c>
      <c r="N270" s="23">
        <f t="shared" si="210"/>
        <v>3907.4698472727273</v>
      </c>
      <c r="O270" s="23">
        <f t="shared" si="211"/>
        <v>5348.4905192727274</v>
      </c>
      <c r="P270" s="46"/>
    </row>
    <row r="271" spans="1:16" x14ac:dyDescent="0.25">
      <c r="A271" s="60">
        <f>IF(G271&lt;&gt;"",1+MAX($A$13:A270),"")</f>
        <v>172</v>
      </c>
      <c r="C271" s="16" t="s">
        <v>98</v>
      </c>
      <c r="D271" s="59" t="s">
        <v>344</v>
      </c>
      <c r="E271" s="31">
        <v>57.28</v>
      </c>
      <c r="F271" s="39">
        <f>VLOOKUP(H271,'PROJECT SUMMARY'!$C$26:$D$32,2,0)</f>
        <v>0.05</v>
      </c>
      <c r="G271" s="31">
        <f t="shared" si="215"/>
        <v>60.144000000000005</v>
      </c>
      <c r="H271" s="16" t="s">
        <v>11</v>
      </c>
      <c r="I271" s="62">
        <v>3.5000000000000003E-2</v>
      </c>
      <c r="J271" s="71">
        <f t="shared" si="213"/>
        <v>2.1050400000000002</v>
      </c>
      <c r="K271" s="23">
        <v>58</v>
      </c>
      <c r="L271" s="23">
        <f t="shared" si="214"/>
        <v>122.09232000000002</v>
      </c>
      <c r="M271" s="23">
        <v>5.22</v>
      </c>
      <c r="N271" s="23">
        <f t="shared" si="210"/>
        <v>313.95168000000001</v>
      </c>
      <c r="O271" s="23">
        <f t="shared" si="211"/>
        <v>436.04400000000004</v>
      </c>
      <c r="P271" s="46"/>
    </row>
    <row r="272" spans="1:16" x14ac:dyDescent="0.25">
      <c r="A272" s="60">
        <f>IF(G272&lt;&gt;"",1+MAX($A$13:A271),"")</f>
        <v>173</v>
      </c>
      <c r="C272" s="16" t="s">
        <v>98</v>
      </c>
      <c r="D272" s="59" t="s">
        <v>345</v>
      </c>
      <c r="E272" s="31">
        <v>180.55</v>
      </c>
      <c r="F272" s="39">
        <f>VLOOKUP(H272,'PROJECT SUMMARY'!$C$26:$D$32,2,0)</f>
        <v>0.05</v>
      </c>
      <c r="G272" s="31">
        <f t="shared" si="215"/>
        <v>189.57750000000001</v>
      </c>
      <c r="H272" s="16" t="s">
        <v>11</v>
      </c>
      <c r="I272" s="62">
        <v>0.04</v>
      </c>
      <c r="J272" s="71">
        <f t="shared" si="213"/>
        <v>7.5831000000000008</v>
      </c>
      <c r="K272" s="23">
        <v>58</v>
      </c>
      <c r="L272" s="23">
        <f t="shared" si="214"/>
        <v>439.81980000000004</v>
      </c>
      <c r="M272" s="23">
        <v>7.23</v>
      </c>
      <c r="N272" s="23">
        <f t="shared" si="210"/>
        <v>1370.6453250000002</v>
      </c>
      <c r="O272" s="23">
        <f t="shared" si="211"/>
        <v>1810.4651250000002</v>
      </c>
      <c r="P272" s="46"/>
    </row>
    <row r="273" spans="1:16" x14ac:dyDescent="0.25">
      <c r="A273" s="60">
        <f>IF(G273&lt;&gt;"",1+MAX($A$13:A272),"")</f>
        <v>174</v>
      </c>
      <c r="C273" s="16" t="s">
        <v>98</v>
      </c>
      <c r="D273" s="59" t="s">
        <v>346</v>
      </c>
      <c r="E273" s="31">
        <v>68.849999999999994</v>
      </c>
      <c r="F273" s="39">
        <f>VLOOKUP(H273,'PROJECT SUMMARY'!$C$26:$D$32,2,0)</f>
        <v>0.05</v>
      </c>
      <c r="G273" s="31">
        <f t="shared" si="215"/>
        <v>72.292500000000004</v>
      </c>
      <c r="H273" s="16" t="s">
        <v>11</v>
      </c>
      <c r="I273" s="62">
        <v>3.3000000000000002E-2</v>
      </c>
      <c r="J273" s="71">
        <f t="shared" si="213"/>
        <v>2.3856525000000004</v>
      </c>
      <c r="K273" s="23">
        <v>58</v>
      </c>
      <c r="L273" s="23">
        <f t="shared" si="214"/>
        <v>138.36784500000002</v>
      </c>
      <c r="M273" s="23">
        <v>4.4036363636363633</v>
      </c>
      <c r="N273" s="23">
        <f t="shared" si="210"/>
        <v>318.34988181818181</v>
      </c>
      <c r="O273" s="23">
        <f t="shared" si="211"/>
        <v>456.71772681818186</v>
      </c>
      <c r="P273" s="46"/>
    </row>
    <row r="274" spans="1:16" x14ac:dyDescent="0.25">
      <c r="A274" s="60">
        <f>IF(G274&lt;&gt;"",1+MAX($A$13:A273),"")</f>
        <v>175</v>
      </c>
      <c r="C274" s="16" t="s">
        <v>98</v>
      </c>
      <c r="D274" s="59" t="s">
        <v>347</v>
      </c>
      <c r="E274" s="31">
        <v>68.849999999999994</v>
      </c>
      <c r="F274" s="39">
        <f>VLOOKUP(H274,'PROJECT SUMMARY'!$C$26:$D$32,2,0)</f>
        <v>0.05</v>
      </c>
      <c r="G274" s="31">
        <f t="shared" si="215"/>
        <v>72.292500000000004</v>
      </c>
      <c r="H274" s="16" t="s">
        <v>11</v>
      </c>
      <c r="I274" s="62">
        <v>0.03</v>
      </c>
      <c r="J274" s="71">
        <f t="shared" si="213"/>
        <v>2.1687750000000001</v>
      </c>
      <c r="K274" s="23">
        <v>58</v>
      </c>
      <c r="L274" s="23">
        <f t="shared" si="214"/>
        <v>125.78895</v>
      </c>
      <c r="M274" s="23">
        <v>2.5163636363636361</v>
      </c>
      <c r="N274" s="23">
        <f t="shared" si="210"/>
        <v>181.91421818181817</v>
      </c>
      <c r="O274" s="23">
        <f t="shared" si="211"/>
        <v>307.70316818181817</v>
      </c>
      <c r="P274" s="46"/>
    </row>
    <row r="275" spans="1:16" x14ac:dyDescent="0.25">
      <c r="A275" s="60">
        <f>IF(G275&lt;&gt;"",1+MAX($A$13:A274),"")</f>
        <v>176</v>
      </c>
      <c r="C275" s="16" t="s">
        <v>98</v>
      </c>
      <c r="D275" s="59" t="s">
        <v>348</v>
      </c>
      <c r="E275" s="31">
        <v>68.849999999999994</v>
      </c>
      <c r="F275" s="39">
        <f>VLOOKUP(H275,'PROJECT SUMMARY'!$C$26:$D$32,2,0)</f>
        <v>0.05</v>
      </c>
      <c r="G275" s="31">
        <f t="shared" si="215"/>
        <v>72.292500000000004</v>
      </c>
      <c r="H275" s="16" t="s">
        <v>11</v>
      </c>
      <c r="I275" s="62">
        <v>0.15</v>
      </c>
      <c r="J275" s="71">
        <f t="shared" si="213"/>
        <v>10.843875000000001</v>
      </c>
      <c r="K275" s="23">
        <v>58</v>
      </c>
      <c r="L275" s="23">
        <f t="shared" si="214"/>
        <v>628.94475</v>
      </c>
      <c r="M275" s="23">
        <v>11.32</v>
      </c>
      <c r="N275" s="23">
        <f t="shared" si="210"/>
        <v>818.35110000000009</v>
      </c>
      <c r="O275" s="23">
        <f t="shared" si="211"/>
        <v>1447.29585</v>
      </c>
      <c r="P275" s="46"/>
    </row>
    <row r="276" spans="1:16" x14ac:dyDescent="0.25">
      <c r="A276" s="60">
        <f>IF(G276&lt;&gt;"",1+MAX($A$13:A275),"")</f>
        <v>177</v>
      </c>
      <c r="C276" s="16" t="s">
        <v>98</v>
      </c>
      <c r="D276" s="59" t="s">
        <v>349</v>
      </c>
      <c r="E276" s="31">
        <v>400.94</v>
      </c>
      <c r="F276" s="39">
        <f>VLOOKUP(H276,'PROJECT SUMMARY'!$C$26:$D$32,2,0)</f>
        <v>0.05</v>
      </c>
      <c r="G276" s="31">
        <f t="shared" si="215"/>
        <v>420.98700000000002</v>
      </c>
      <c r="H276" s="16" t="s">
        <v>11</v>
      </c>
      <c r="I276" s="62">
        <v>0.155</v>
      </c>
      <c r="J276" s="71">
        <f t="shared" si="213"/>
        <v>65.25298500000001</v>
      </c>
      <c r="K276" s="23">
        <v>58</v>
      </c>
      <c r="L276" s="23">
        <f t="shared" si="214"/>
        <v>3784.6731300000006</v>
      </c>
      <c r="M276" s="23">
        <v>3.65</v>
      </c>
      <c r="N276" s="23">
        <f t="shared" si="210"/>
        <v>1536.6025500000001</v>
      </c>
      <c r="O276" s="23">
        <f t="shared" si="211"/>
        <v>5321.2756800000006</v>
      </c>
      <c r="P276" s="46"/>
    </row>
    <row r="277" spans="1:16" x14ac:dyDescent="0.25">
      <c r="A277" s="60">
        <f>IF(G277&lt;&gt;"",1+MAX($A$13:A276),"")</f>
        <v>178</v>
      </c>
      <c r="C277" s="16" t="s">
        <v>98</v>
      </c>
      <c r="D277" s="59" t="s">
        <v>350</v>
      </c>
      <c r="E277" s="31">
        <v>202.17</v>
      </c>
      <c r="F277" s="39">
        <f>VLOOKUP(H277,'PROJECT SUMMARY'!$C$26:$D$32,2,0)</f>
        <v>0.05</v>
      </c>
      <c r="G277" s="31">
        <f t="shared" si="215"/>
        <v>212.27850000000001</v>
      </c>
      <c r="H277" s="16" t="s">
        <v>11</v>
      </c>
      <c r="I277" s="62">
        <v>0.05</v>
      </c>
      <c r="J277" s="71">
        <f t="shared" si="213"/>
        <v>10.613925000000002</v>
      </c>
      <c r="K277" s="23">
        <v>58</v>
      </c>
      <c r="L277" s="23">
        <f t="shared" si="214"/>
        <v>615.60765000000015</v>
      </c>
      <c r="M277" s="23">
        <v>8.23</v>
      </c>
      <c r="N277" s="23">
        <f t="shared" si="210"/>
        <v>1747.0520550000001</v>
      </c>
      <c r="O277" s="23">
        <f t="shared" si="211"/>
        <v>2362.659705</v>
      </c>
      <c r="P277" s="46"/>
    </row>
    <row r="278" spans="1:16" x14ac:dyDescent="0.25">
      <c r="A278" s="60">
        <f>IF(G278&lt;&gt;"",1+MAX($A$13:A277),"")</f>
        <v>179</v>
      </c>
      <c r="C278" s="16" t="s">
        <v>98</v>
      </c>
      <c r="D278" s="59" t="s">
        <v>351</v>
      </c>
      <c r="E278" s="31">
        <v>307</v>
      </c>
      <c r="F278" s="39">
        <f>VLOOKUP(H278,'PROJECT SUMMARY'!$C$26:$D$32,2,0)</f>
        <v>0.05</v>
      </c>
      <c r="G278" s="31">
        <f t="shared" ref="G278" si="216">E278*(1+F278)</f>
        <v>322.35000000000002</v>
      </c>
      <c r="H278" s="16" t="s">
        <v>11</v>
      </c>
      <c r="I278" s="62">
        <v>0.03</v>
      </c>
      <c r="J278" s="71">
        <f t="shared" si="213"/>
        <v>9.6705000000000005</v>
      </c>
      <c r="K278" s="23">
        <v>58</v>
      </c>
      <c r="L278" s="23">
        <f t="shared" si="214"/>
        <v>560.88900000000001</v>
      </c>
      <c r="M278" s="23">
        <v>2.6</v>
      </c>
      <c r="N278" s="23">
        <f t="shared" si="210"/>
        <v>838.11000000000013</v>
      </c>
      <c r="O278" s="23">
        <f t="shared" si="211"/>
        <v>1398.9990000000003</v>
      </c>
      <c r="P278" s="46"/>
    </row>
    <row r="279" spans="1:16" x14ac:dyDescent="0.25">
      <c r="A279" s="60" t="str">
        <f>IF(G279&lt;&gt;"",1+MAX($A$13:A278),"")</f>
        <v/>
      </c>
      <c r="P279" s="46"/>
    </row>
    <row r="280" spans="1:16" x14ac:dyDescent="0.25">
      <c r="A280" s="60" t="str">
        <f>IF(G280&lt;&gt;"",1+MAX($A$13:A279),"")</f>
        <v/>
      </c>
      <c r="D280" s="58" t="s">
        <v>101</v>
      </c>
      <c r="P280" s="46"/>
    </row>
    <row r="281" spans="1:16" x14ac:dyDescent="0.25">
      <c r="A281" s="60">
        <f>IF(G281&lt;&gt;"",1+MAX($A$13:A280),"")</f>
        <v>180</v>
      </c>
      <c r="C281" s="16" t="s">
        <v>98</v>
      </c>
      <c r="D281" s="59" t="s">
        <v>336</v>
      </c>
      <c r="E281" s="31">
        <v>7755</v>
      </c>
      <c r="F281" s="39">
        <f>VLOOKUP(H281,'PROJECT SUMMARY'!$C$26:$D$32,2,0)</f>
        <v>0.05</v>
      </c>
      <c r="G281" s="31">
        <f t="shared" ref="G281" si="217">E281*(1+F281)</f>
        <v>8142.75</v>
      </c>
      <c r="H281" s="16" t="s">
        <v>12</v>
      </c>
      <c r="I281" s="62">
        <v>0.06</v>
      </c>
      <c r="J281" s="71">
        <f t="shared" ref="J281:J284" si="218">I281*G281</f>
        <v>488.565</v>
      </c>
      <c r="K281" s="23">
        <v>58</v>
      </c>
      <c r="L281" s="23">
        <f t="shared" ref="L281:L284" si="219">K281*J281</f>
        <v>28336.77</v>
      </c>
      <c r="M281" s="23">
        <v>2.2000000000000002</v>
      </c>
      <c r="N281" s="23">
        <f t="shared" ref="N281:N284" si="220">M281*G281</f>
        <v>17914.050000000003</v>
      </c>
      <c r="O281" s="23">
        <f t="shared" ref="O281:O284" si="221">L281+N281</f>
        <v>46250.820000000007</v>
      </c>
      <c r="P281" s="46"/>
    </row>
    <row r="282" spans="1:16" x14ac:dyDescent="0.25">
      <c r="A282" s="60">
        <f>IF(G282&lt;&gt;"",1+MAX($A$13:A281),"")</f>
        <v>181</v>
      </c>
      <c r="C282" s="16" t="s">
        <v>98</v>
      </c>
      <c r="D282" s="59" t="s">
        <v>334</v>
      </c>
      <c r="E282" s="31">
        <v>372.92</v>
      </c>
      <c r="F282" s="39">
        <f>VLOOKUP(H282,'PROJECT SUMMARY'!$C$26:$D$32,2,0)</f>
        <v>0.05</v>
      </c>
      <c r="G282" s="31">
        <f t="shared" ref="G282:G284" si="222">E282*(1+F282)</f>
        <v>391.56600000000003</v>
      </c>
      <c r="H282" s="16" t="s">
        <v>12</v>
      </c>
      <c r="I282" s="62">
        <v>5.5E-2</v>
      </c>
      <c r="J282" s="71">
        <f t="shared" si="218"/>
        <v>21.536130000000004</v>
      </c>
      <c r="K282" s="23">
        <v>58</v>
      </c>
      <c r="L282" s="23">
        <f t="shared" si="219"/>
        <v>1249.0955400000003</v>
      </c>
      <c r="M282" s="23">
        <v>3.55</v>
      </c>
      <c r="N282" s="23">
        <f t="shared" si="220"/>
        <v>1390.0593000000001</v>
      </c>
      <c r="O282" s="23">
        <f t="shared" si="221"/>
        <v>2639.1548400000001</v>
      </c>
      <c r="P282" s="46"/>
    </row>
    <row r="283" spans="1:16" x14ac:dyDescent="0.25">
      <c r="A283" s="60">
        <f>IF(G283&lt;&gt;"",1+MAX($A$13:A282),"")</f>
        <v>182</v>
      </c>
      <c r="C283" s="16" t="s">
        <v>98</v>
      </c>
      <c r="D283" s="59" t="s">
        <v>335</v>
      </c>
      <c r="E283" s="31">
        <v>44.7</v>
      </c>
      <c r="F283" s="39">
        <f>VLOOKUP(H283,'PROJECT SUMMARY'!$C$26:$D$32,2,0)</f>
        <v>0.05</v>
      </c>
      <c r="G283" s="31">
        <f t="shared" si="222"/>
        <v>46.935000000000002</v>
      </c>
      <c r="H283" s="16" t="s">
        <v>12</v>
      </c>
      <c r="I283" s="62">
        <v>0.15</v>
      </c>
      <c r="J283" s="71">
        <f t="shared" si="218"/>
        <v>7.0402500000000003</v>
      </c>
      <c r="K283" s="23">
        <v>58</v>
      </c>
      <c r="L283" s="23">
        <f t="shared" si="219"/>
        <v>408.33450000000005</v>
      </c>
      <c r="M283" s="23">
        <v>45.96</v>
      </c>
      <c r="N283" s="23">
        <f t="shared" si="220"/>
        <v>2157.1326000000004</v>
      </c>
      <c r="O283" s="23">
        <f t="shared" si="221"/>
        <v>2565.4671000000003</v>
      </c>
      <c r="P283" s="46"/>
    </row>
    <row r="284" spans="1:16" x14ac:dyDescent="0.25">
      <c r="A284" s="60">
        <f>IF(G284&lt;&gt;"",1+MAX($A$13:A283),"")</f>
        <v>183</v>
      </c>
      <c r="C284" s="16" t="s">
        <v>98</v>
      </c>
      <c r="D284" s="59" t="s">
        <v>337</v>
      </c>
      <c r="E284" s="31">
        <v>8172.2830000000004</v>
      </c>
      <c r="F284" s="39">
        <f>VLOOKUP(H284,'PROJECT SUMMARY'!$C$26:$D$32,2,0)</f>
        <v>0.05</v>
      </c>
      <c r="G284" s="31">
        <f t="shared" si="222"/>
        <v>8580.8971500000007</v>
      </c>
      <c r="H284" s="16" t="s">
        <v>12</v>
      </c>
      <c r="I284" s="62">
        <v>0.01</v>
      </c>
      <c r="J284" s="71">
        <f t="shared" si="218"/>
        <v>85.808971500000013</v>
      </c>
      <c r="K284" s="23">
        <v>58</v>
      </c>
      <c r="L284" s="23">
        <f t="shared" si="219"/>
        <v>4976.9203470000011</v>
      </c>
      <c r="M284" s="23">
        <v>0.8194999999999999</v>
      </c>
      <c r="N284" s="23">
        <f t="shared" si="220"/>
        <v>7032.0452144249994</v>
      </c>
      <c r="O284" s="23">
        <f t="shared" si="221"/>
        <v>12008.965561425</v>
      </c>
      <c r="P284" s="46"/>
    </row>
    <row r="285" spans="1:16" x14ac:dyDescent="0.25">
      <c r="A285" s="60" t="str">
        <f>IF(G285&lt;&gt;"",1+MAX($A$13:A284),"")</f>
        <v/>
      </c>
      <c r="D285" s="59"/>
      <c r="I285" s="62"/>
      <c r="J285" s="71"/>
      <c r="P285" s="46"/>
    </row>
    <row r="286" spans="1:16" x14ac:dyDescent="0.25">
      <c r="A286" s="60">
        <f>IF(G286&lt;&gt;"",1+MAX($A$13:A285),"")</f>
        <v>184</v>
      </c>
      <c r="C286" s="16" t="s">
        <v>98</v>
      </c>
      <c r="D286" s="59" t="s">
        <v>372</v>
      </c>
      <c r="E286" s="31">
        <v>8172.2830000000004</v>
      </c>
      <c r="F286" s="39">
        <f>VLOOKUP(H286,'PROJECT SUMMARY'!$C$26:$D$32,2,0)</f>
        <v>0.05</v>
      </c>
      <c r="G286" s="31">
        <f t="shared" ref="G286" si="223">E286*(1+F286)</f>
        <v>8580.8971500000007</v>
      </c>
      <c r="H286" s="16" t="s">
        <v>12</v>
      </c>
      <c r="I286" s="62">
        <v>8.0000000000000002E-3</v>
      </c>
      <c r="J286" s="71">
        <f t="shared" ref="J286" si="224">I286*G286</f>
        <v>68.647177200000002</v>
      </c>
      <c r="K286" s="23">
        <v>58</v>
      </c>
      <c r="L286" s="23">
        <f t="shared" ref="L286" si="225">K286*J286</f>
        <v>3981.5362776000002</v>
      </c>
      <c r="M286" s="23">
        <v>0.36</v>
      </c>
      <c r="N286" s="23">
        <f t="shared" ref="N286" si="226">M286*G286</f>
        <v>3089.1229740000003</v>
      </c>
      <c r="O286" s="23">
        <f t="shared" ref="O286" si="227">L286+N286</f>
        <v>7070.6592516000001</v>
      </c>
      <c r="P286" s="46"/>
    </row>
    <row r="287" spans="1:16" x14ac:dyDescent="0.25">
      <c r="A287" s="60" t="str">
        <f>IF(G287&lt;&gt;"",1+MAX($A$13:A286),"")</f>
        <v/>
      </c>
      <c r="P287" s="46"/>
    </row>
    <row r="288" spans="1:16" x14ac:dyDescent="0.25">
      <c r="A288" s="60" t="str">
        <f>IF(G288&lt;&gt;"",1+MAX($A$13:A287),"")</f>
        <v/>
      </c>
      <c r="D288" s="58" t="s">
        <v>114</v>
      </c>
      <c r="P288" s="46"/>
    </row>
    <row r="289" spans="1:16" x14ac:dyDescent="0.25">
      <c r="A289" s="60">
        <f>IF(G289&lt;&gt;"",1+MAX($A$13:A288),"")</f>
        <v>185</v>
      </c>
      <c r="C289" s="16" t="s">
        <v>98</v>
      </c>
      <c r="D289" s="59" t="s">
        <v>371</v>
      </c>
      <c r="E289" s="31">
        <v>8172.2830000000004</v>
      </c>
      <c r="F289" s="39">
        <f>VLOOKUP(H289,'PROJECT SUMMARY'!$C$26:$D$32,2,0)</f>
        <v>0.05</v>
      </c>
      <c r="G289" s="31">
        <f t="shared" ref="G289" si="228">E289*(1+F289)</f>
        <v>8580.8971500000007</v>
      </c>
      <c r="H289" s="16" t="s">
        <v>12</v>
      </c>
      <c r="I289" s="62">
        <v>0.02</v>
      </c>
      <c r="J289" s="71">
        <f t="shared" ref="J289:J290" si="229">I289*G289</f>
        <v>171.61794300000003</v>
      </c>
      <c r="K289" s="23">
        <v>58</v>
      </c>
      <c r="L289" s="23">
        <f t="shared" ref="L289:L290" si="230">K289*J289</f>
        <v>9953.8406940000023</v>
      </c>
      <c r="M289" s="23">
        <v>1.1499999999999999</v>
      </c>
      <c r="N289" s="23">
        <f t="shared" ref="N289:N290" si="231">M289*G289</f>
        <v>9868.0317224999999</v>
      </c>
      <c r="O289" s="23">
        <f t="shared" ref="O289:O290" si="232">L289+N289</f>
        <v>19821.872416500002</v>
      </c>
      <c r="P289" s="46"/>
    </row>
    <row r="290" spans="1:16" x14ac:dyDescent="0.25">
      <c r="A290" s="60">
        <f>IF(G290&lt;&gt;"",1+MAX($A$13:A289),"")</f>
        <v>186</v>
      </c>
      <c r="C290" s="16" t="s">
        <v>98</v>
      </c>
      <c r="D290" s="59" t="s">
        <v>115</v>
      </c>
      <c r="E290" s="31">
        <v>840</v>
      </c>
      <c r="F290" s="39">
        <f>VLOOKUP(H290,'PROJECT SUMMARY'!$C$26:$D$32,2,0)</f>
        <v>0.05</v>
      </c>
      <c r="G290" s="31">
        <f t="shared" ref="G290" si="233">E290*(1+F290)</f>
        <v>882</v>
      </c>
      <c r="H290" s="16" t="s">
        <v>12</v>
      </c>
      <c r="I290" s="62">
        <v>0.02</v>
      </c>
      <c r="J290" s="71">
        <f t="shared" si="229"/>
        <v>17.64</v>
      </c>
      <c r="K290" s="23">
        <v>58</v>
      </c>
      <c r="L290" s="23">
        <f t="shared" si="230"/>
        <v>1023.12</v>
      </c>
      <c r="M290" s="23">
        <v>1.28</v>
      </c>
      <c r="N290" s="23">
        <f t="shared" si="231"/>
        <v>1128.96</v>
      </c>
      <c r="O290" s="23">
        <f t="shared" si="232"/>
        <v>2152.08</v>
      </c>
      <c r="P290" s="46"/>
    </row>
    <row r="291" spans="1:16" x14ac:dyDescent="0.25">
      <c r="A291" s="60" t="str">
        <f>IF(G291&lt;&gt;"",1+MAX($A$13:A290),"")</f>
        <v/>
      </c>
      <c r="P291" s="46"/>
    </row>
    <row r="292" spans="1:16" x14ac:dyDescent="0.25">
      <c r="A292" s="60" t="str">
        <f>IF(G292&lt;&gt;"",1+MAX($A$13:A291),"")</f>
        <v/>
      </c>
      <c r="D292" s="58" t="s">
        <v>116</v>
      </c>
      <c r="P292" s="46"/>
    </row>
    <row r="293" spans="1:16" x14ac:dyDescent="0.25">
      <c r="A293" s="60">
        <f>IF(G293&lt;&gt;"",1+MAX($A$13:A292),"")</f>
        <v>187</v>
      </c>
      <c r="C293" s="16" t="s">
        <v>98</v>
      </c>
      <c r="D293" s="59" t="s">
        <v>117</v>
      </c>
      <c r="E293" s="31">
        <f>1395.3*2</f>
        <v>2790.6</v>
      </c>
      <c r="F293" s="39">
        <f>VLOOKUP(H293,'PROJECT SUMMARY'!$C$26:$D$32,2,0)</f>
        <v>0.05</v>
      </c>
      <c r="G293" s="31">
        <f t="shared" ref="G293:G294" si="234">E293*(1+F293)</f>
        <v>2930.13</v>
      </c>
      <c r="H293" s="16" t="s">
        <v>11</v>
      </c>
      <c r="I293" s="62">
        <v>6.0000000000000001E-3</v>
      </c>
      <c r="J293" s="71">
        <f t="shared" ref="J293:J294" si="235">I293*G293</f>
        <v>17.580780000000001</v>
      </c>
      <c r="K293" s="23">
        <v>58</v>
      </c>
      <c r="L293" s="23">
        <f t="shared" ref="L293:L294" si="236">K293*J293</f>
        <v>1019.68524</v>
      </c>
      <c r="M293" s="23">
        <v>0.1</v>
      </c>
      <c r="N293" s="23">
        <f t="shared" ref="N293:N294" si="237">M293*G293</f>
        <v>293.01300000000003</v>
      </c>
      <c r="O293" s="23">
        <f t="shared" ref="O293:O294" si="238">L293+N293</f>
        <v>1312.6982400000002</v>
      </c>
      <c r="P293" s="46"/>
    </row>
    <row r="294" spans="1:16" x14ac:dyDescent="0.25">
      <c r="A294" s="60">
        <f>IF(G294&lt;&gt;"",1+MAX($A$13:A293),"")</f>
        <v>188</v>
      </c>
      <c r="C294" s="16" t="s">
        <v>98</v>
      </c>
      <c r="D294" s="10" t="s">
        <v>118</v>
      </c>
      <c r="E294" s="31">
        <f>1058.34*2</f>
        <v>2116.6799999999998</v>
      </c>
      <c r="F294" s="39">
        <f>VLOOKUP(H294,'PROJECT SUMMARY'!$C$26:$D$32,2,0)</f>
        <v>0.05</v>
      </c>
      <c r="G294" s="31">
        <f t="shared" si="234"/>
        <v>2222.5140000000001</v>
      </c>
      <c r="H294" s="16" t="s">
        <v>11</v>
      </c>
      <c r="I294" s="62">
        <v>6.0000000000000001E-3</v>
      </c>
      <c r="J294" s="71">
        <f t="shared" si="235"/>
        <v>13.335084</v>
      </c>
      <c r="K294" s="23">
        <v>58</v>
      </c>
      <c r="L294" s="23">
        <f t="shared" si="236"/>
        <v>773.43487200000004</v>
      </c>
      <c r="M294" s="23">
        <v>0.1</v>
      </c>
      <c r="N294" s="23">
        <f t="shared" si="237"/>
        <v>222.25140000000002</v>
      </c>
      <c r="O294" s="23">
        <f t="shared" si="238"/>
        <v>995.68627200000003</v>
      </c>
      <c r="P294" s="46"/>
    </row>
    <row r="295" spans="1:16" ht="16.5" thickBot="1" x14ac:dyDescent="0.3">
      <c r="A295" s="60" t="str">
        <f>IF(G295&lt;&gt;"",1+MAX($A$13:A294),"")</f>
        <v/>
      </c>
      <c r="P295" s="46"/>
    </row>
    <row r="296" spans="1:16" ht="16.5" thickBot="1" x14ac:dyDescent="0.3">
      <c r="A296" s="87" t="str">
        <f>IF(G296&lt;&gt;"",1+MAX($A$13:A295),"")</f>
        <v/>
      </c>
      <c r="B296" s="83"/>
      <c r="C296" s="83" t="s">
        <v>45</v>
      </c>
      <c r="D296" s="81" t="s">
        <v>46</v>
      </c>
      <c r="E296" s="85"/>
      <c r="F296" s="86"/>
      <c r="G296" s="85"/>
      <c r="H296" s="85"/>
      <c r="I296" s="81"/>
      <c r="J296" s="81"/>
      <c r="K296" s="82"/>
      <c r="L296" s="82"/>
      <c r="M296" s="82"/>
      <c r="N296" s="82"/>
      <c r="O296" s="84"/>
      <c r="P296" s="88">
        <f>SUM(O297:O361)</f>
        <v>202453.32320786008</v>
      </c>
    </row>
    <row r="297" spans="1:16" x14ac:dyDescent="0.25">
      <c r="A297" s="60" t="str">
        <f>IF(G297&lt;&gt;"",1+MAX($A$13:A296),"")</f>
        <v/>
      </c>
      <c r="P297" s="46"/>
    </row>
    <row r="298" spans="1:16" x14ac:dyDescent="0.25">
      <c r="A298" s="60" t="str">
        <f>IF(G298&lt;&gt;"",1+MAX($A$13:A297),"")</f>
        <v/>
      </c>
      <c r="D298" s="58" t="s">
        <v>280</v>
      </c>
      <c r="J298" s="71"/>
      <c r="P298" s="46"/>
    </row>
    <row r="299" spans="1:16" x14ac:dyDescent="0.25">
      <c r="A299" s="60">
        <f>IF(G299&lt;&gt;"",1+MAX($A$13:A298),"")</f>
        <v>189</v>
      </c>
      <c r="C299" s="16" t="s">
        <v>45</v>
      </c>
      <c r="D299" s="59" t="s">
        <v>259</v>
      </c>
      <c r="E299" s="31">
        <v>1</v>
      </c>
      <c r="F299" s="39">
        <f>VLOOKUP(H299,'PROJECT SUMMARY'!$C$26:$D$32,2,0)</f>
        <v>0</v>
      </c>
      <c r="G299" s="31">
        <f>E299*(1+F299)</f>
        <v>1</v>
      </c>
      <c r="H299" s="16" t="s">
        <v>10</v>
      </c>
      <c r="I299" s="62">
        <v>13.616918100000001</v>
      </c>
      <c r="J299" s="71">
        <f>I299*G299</f>
        <v>13.616918100000001</v>
      </c>
      <c r="K299" s="23">
        <v>52</v>
      </c>
      <c r="L299" s="23">
        <f>K299*J299</f>
        <v>708.07974120000006</v>
      </c>
      <c r="M299" s="23">
        <v>2269.4863500000001</v>
      </c>
      <c r="N299" s="23">
        <f>M299*G299</f>
        <v>2269.4863500000001</v>
      </c>
      <c r="O299" s="23">
        <f>L299+N299</f>
        <v>2977.5660912000003</v>
      </c>
      <c r="P299" s="46"/>
    </row>
    <row r="300" spans="1:16" x14ac:dyDescent="0.25">
      <c r="A300" s="60">
        <f>IF(G300&lt;&gt;"",1+MAX($A$13:A299),"")</f>
        <v>190</v>
      </c>
      <c r="C300" s="16" t="s">
        <v>45</v>
      </c>
      <c r="D300" s="59" t="s">
        <v>274</v>
      </c>
      <c r="E300" s="31">
        <v>1</v>
      </c>
      <c r="F300" s="39">
        <f>VLOOKUP(H300,'PROJECT SUMMARY'!$C$26:$D$32,2,0)</f>
        <v>0</v>
      </c>
      <c r="G300" s="31">
        <f t="shared" ref="G300:G328" si="239">E300*(1+F300)</f>
        <v>1</v>
      </c>
      <c r="H300" s="16" t="s">
        <v>10</v>
      </c>
      <c r="I300" s="62">
        <v>18.517401899999999</v>
      </c>
      <c r="J300" s="71">
        <f t="shared" ref="J300:J325" si="240">I300*G300</f>
        <v>18.517401899999999</v>
      </c>
      <c r="K300" s="23">
        <v>52</v>
      </c>
      <c r="L300" s="23">
        <f t="shared" ref="L300:L325" si="241">K300*J300</f>
        <v>962.90489879999996</v>
      </c>
      <c r="M300" s="23">
        <v>3086.2336500000001</v>
      </c>
      <c r="N300" s="23">
        <f t="shared" ref="N300:N328" si="242">M300*G300</f>
        <v>3086.2336500000001</v>
      </c>
      <c r="O300" s="23">
        <f t="shared" ref="O300:O328" si="243">L300+N300</f>
        <v>4049.1385488000001</v>
      </c>
      <c r="P300" s="46"/>
    </row>
    <row r="301" spans="1:16" x14ac:dyDescent="0.25">
      <c r="A301" s="60">
        <f>IF(G301&lt;&gt;"",1+MAX($A$13:A300),"")</f>
        <v>191</v>
      </c>
      <c r="C301" s="16" t="s">
        <v>45</v>
      </c>
      <c r="D301" s="59" t="s">
        <v>278</v>
      </c>
      <c r="E301" s="31">
        <v>1</v>
      </c>
      <c r="F301" s="39">
        <f>VLOOKUP(H301,'PROJECT SUMMARY'!$C$26:$D$32,2,0)</f>
        <v>0</v>
      </c>
      <c r="G301" s="31">
        <f t="shared" si="239"/>
        <v>1</v>
      </c>
      <c r="H301" s="16" t="s">
        <v>10</v>
      </c>
      <c r="I301" s="62">
        <v>16.736436900000001</v>
      </c>
      <c r="J301" s="71">
        <f t="shared" si="240"/>
        <v>16.736436900000001</v>
      </c>
      <c r="K301" s="23">
        <v>52</v>
      </c>
      <c r="L301" s="23">
        <f t="shared" si="241"/>
        <v>870.29471880000006</v>
      </c>
      <c r="M301" s="23">
        <v>2789.4061500000003</v>
      </c>
      <c r="N301" s="23">
        <f t="shared" si="242"/>
        <v>2789.4061500000003</v>
      </c>
      <c r="O301" s="23">
        <f t="shared" si="243"/>
        <v>3659.7008688000005</v>
      </c>
      <c r="P301" s="46"/>
    </row>
    <row r="302" spans="1:16" x14ac:dyDescent="0.25">
      <c r="A302" s="60">
        <f>IF(G302&lt;&gt;"",1+MAX($A$13:A301),"")</f>
        <v>192</v>
      </c>
      <c r="C302" s="16" t="s">
        <v>45</v>
      </c>
      <c r="D302" s="59" t="s">
        <v>253</v>
      </c>
      <c r="E302" s="31">
        <v>2</v>
      </c>
      <c r="F302" s="39">
        <f>VLOOKUP(H302,'PROJECT SUMMARY'!$C$26:$D$32,2,0)</f>
        <v>0</v>
      </c>
      <c r="G302" s="31">
        <f t="shared" ref="G302:G310" si="244">E302*(1+F302)</f>
        <v>2</v>
      </c>
      <c r="H302" s="16" t="s">
        <v>10</v>
      </c>
      <c r="I302" s="62">
        <v>20.064</v>
      </c>
      <c r="J302" s="71">
        <f t="shared" si="240"/>
        <v>40.128</v>
      </c>
      <c r="K302" s="23">
        <v>52</v>
      </c>
      <c r="L302" s="23">
        <f t="shared" si="241"/>
        <v>2086.6559999999999</v>
      </c>
      <c r="M302" s="23">
        <v>3648</v>
      </c>
      <c r="N302" s="23">
        <f t="shared" si="242"/>
        <v>7296</v>
      </c>
      <c r="O302" s="23">
        <f t="shared" si="243"/>
        <v>9382.655999999999</v>
      </c>
      <c r="P302" s="46"/>
    </row>
    <row r="303" spans="1:16" x14ac:dyDescent="0.25">
      <c r="A303" s="60">
        <f>IF(G303&lt;&gt;"",1+MAX($A$13:A302),"")</f>
        <v>193</v>
      </c>
      <c r="C303" s="16" t="s">
        <v>45</v>
      </c>
      <c r="D303" s="59" t="s">
        <v>272</v>
      </c>
      <c r="E303" s="31">
        <v>2</v>
      </c>
      <c r="F303" s="39">
        <f>VLOOKUP(H303,'PROJECT SUMMARY'!$C$26:$D$32,2,0)</f>
        <v>0</v>
      </c>
      <c r="G303" s="31">
        <f t="shared" si="244"/>
        <v>2</v>
      </c>
      <c r="H303" s="16" t="s">
        <v>10</v>
      </c>
      <c r="I303" s="62">
        <v>2.6778599999999999</v>
      </c>
      <c r="J303" s="71">
        <f t="shared" si="240"/>
        <v>5.3557199999999998</v>
      </c>
      <c r="K303" s="23">
        <v>52</v>
      </c>
      <c r="L303" s="23">
        <f t="shared" si="241"/>
        <v>278.49743999999998</v>
      </c>
      <c r="M303" s="23">
        <v>446.31</v>
      </c>
      <c r="N303" s="23">
        <f t="shared" si="242"/>
        <v>892.62</v>
      </c>
      <c r="O303" s="23">
        <f t="shared" si="243"/>
        <v>1171.11744</v>
      </c>
      <c r="P303" s="46"/>
    </row>
    <row r="304" spans="1:16" x14ac:dyDescent="0.25">
      <c r="A304" s="60">
        <f>IF(G304&lt;&gt;"",1+MAX($A$13:A303),"")</f>
        <v>194</v>
      </c>
      <c r="C304" s="16" t="s">
        <v>45</v>
      </c>
      <c r="D304" s="59" t="s">
        <v>264</v>
      </c>
      <c r="E304" s="31">
        <v>1</v>
      </c>
      <c r="F304" s="39">
        <f>VLOOKUP(H304,'PROJECT SUMMARY'!$C$26:$D$32,2,0)</f>
        <v>0</v>
      </c>
      <c r="G304" s="31">
        <f t="shared" si="244"/>
        <v>1</v>
      </c>
      <c r="H304" s="16" t="s">
        <v>10</v>
      </c>
      <c r="I304" s="62">
        <v>28.044</v>
      </c>
      <c r="J304" s="71">
        <f t="shared" si="240"/>
        <v>28.044</v>
      </c>
      <c r="K304" s="23">
        <v>52</v>
      </c>
      <c r="L304" s="23">
        <f t="shared" si="241"/>
        <v>1458.288</v>
      </c>
      <c r="M304" s="23">
        <v>4674</v>
      </c>
      <c r="N304" s="23">
        <f t="shared" si="242"/>
        <v>4674</v>
      </c>
      <c r="O304" s="23">
        <f t="shared" si="243"/>
        <v>6132.2880000000005</v>
      </c>
      <c r="P304" s="46"/>
    </row>
    <row r="305" spans="1:16" x14ac:dyDescent="0.25">
      <c r="A305" s="60">
        <f>IF(G305&lt;&gt;"",1+MAX($A$13:A304),"")</f>
        <v>195</v>
      </c>
      <c r="C305" s="16" t="s">
        <v>45</v>
      </c>
      <c r="D305" s="59" t="s">
        <v>269</v>
      </c>
      <c r="E305" s="31">
        <v>2</v>
      </c>
      <c r="F305" s="39">
        <f>VLOOKUP(H305,'PROJECT SUMMARY'!$C$26:$D$32,2,0)</f>
        <v>0</v>
      </c>
      <c r="G305" s="31">
        <f t="shared" si="244"/>
        <v>2</v>
      </c>
      <c r="H305" s="16" t="s">
        <v>10</v>
      </c>
      <c r="I305" s="62">
        <v>3.7891718999999999</v>
      </c>
      <c r="J305" s="71">
        <f t="shared" si="240"/>
        <v>7.5783437999999999</v>
      </c>
      <c r="K305" s="23">
        <v>52</v>
      </c>
      <c r="L305" s="23">
        <f t="shared" si="241"/>
        <v>394.0738776</v>
      </c>
      <c r="M305" s="23">
        <v>631.52864999999997</v>
      </c>
      <c r="N305" s="23">
        <f t="shared" si="242"/>
        <v>1263.0572999999999</v>
      </c>
      <c r="O305" s="23">
        <f t="shared" si="243"/>
        <v>1657.1311776</v>
      </c>
      <c r="P305" s="46"/>
    </row>
    <row r="306" spans="1:16" x14ac:dyDescent="0.25">
      <c r="A306" s="60">
        <f>IF(G306&lt;&gt;"",1+MAX($A$13:A305),"")</f>
        <v>196</v>
      </c>
      <c r="C306" s="16" t="s">
        <v>45</v>
      </c>
      <c r="D306" s="59" t="s">
        <v>257</v>
      </c>
      <c r="E306" s="31">
        <v>2</v>
      </c>
      <c r="F306" s="39">
        <f>VLOOKUP(H306,'PROJECT SUMMARY'!$C$26:$D$32,2,0)</f>
        <v>0</v>
      </c>
      <c r="G306" s="31">
        <f t="shared" si="244"/>
        <v>2</v>
      </c>
      <c r="H306" s="16" t="s">
        <v>10</v>
      </c>
      <c r="I306" s="62">
        <v>29.665109924999999</v>
      </c>
      <c r="J306" s="71">
        <f t="shared" si="240"/>
        <v>59.330219849999999</v>
      </c>
      <c r="K306" s="23">
        <v>52</v>
      </c>
      <c r="L306" s="23">
        <f t="shared" si="241"/>
        <v>3085.1714321999998</v>
      </c>
      <c r="M306" s="23">
        <v>5393.6563500000002</v>
      </c>
      <c r="N306" s="23">
        <f t="shared" si="242"/>
        <v>10787.3127</v>
      </c>
      <c r="O306" s="23">
        <f t="shared" si="243"/>
        <v>13872.484132199999</v>
      </c>
      <c r="P306" s="46"/>
    </row>
    <row r="307" spans="1:16" x14ac:dyDescent="0.25">
      <c r="A307" s="60">
        <f>IF(G307&lt;&gt;"",1+MAX($A$13:A306),"")</f>
        <v>197</v>
      </c>
      <c r="C307" s="16" t="s">
        <v>45</v>
      </c>
      <c r="D307" s="59" t="s">
        <v>273</v>
      </c>
      <c r="E307" s="31">
        <v>1</v>
      </c>
      <c r="F307" s="39">
        <f>VLOOKUP(H307,'PROJECT SUMMARY'!$C$26:$D$32,2,0)</f>
        <v>0</v>
      </c>
      <c r="G307" s="31">
        <f t="shared" si="244"/>
        <v>1</v>
      </c>
      <c r="H307" s="16" t="s">
        <v>10</v>
      </c>
      <c r="I307" s="62">
        <v>31.506138674999999</v>
      </c>
      <c r="J307" s="71">
        <f t="shared" si="240"/>
        <v>31.506138674999999</v>
      </c>
      <c r="K307" s="23">
        <v>52</v>
      </c>
      <c r="L307" s="23">
        <f t="shared" si="241"/>
        <v>1638.3192110999998</v>
      </c>
      <c r="M307" s="23">
        <v>5728.3888500000003</v>
      </c>
      <c r="N307" s="23">
        <f t="shared" si="242"/>
        <v>5728.3888500000003</v>
      </c>
      <c r="O307" s="23">
        <f t="shared" si="243"/>
        <v>7366.7080611000001</v>
      </c>
      <c r="P307" s="46"/>
    </row>
    <row r="308" spans="1:16" x14ac:dyDescent="0.25">
      <c r="A308" s="60">
        <f>IF(G308&lt;&gt;"",1+MAX($A$13:A307),"")</f>
        <v>198</v>
      </c>
      <c r="C308" s="16" t="s">
        <v>45</v>
      </c>
      <c r="D308" s="59" t="s">
        <v>279</v>
      </c>
      <c r="E308" s="31">
        <v>1</v>
      </c>
      <c r="F308" s="39">
        <f>VLOOKUP(H308,'PROJECT SUMMARY'!$C$26:$D$32,2,0)</f>
        <v>0</v>
      </c>
      <c r="G308" s="31">
        <f t="shared" si="244"/>
        <v>1</v>
      </c>
      <c r="H308" s="16" t="s">
        <v>10</v>
      </c>
      <c r="I308" s="62">
        <v>2.9198249999999999</v>
      </c>
      <c r="J308" s="71">
        <f t="shared" si="240"/>
        <v>2.9198249999999999</v>
      </c>
      <c r="K308" s="23">
        <v>52</v>
      </c>
      <c r="L308" s="23">
        <f t="shared" si="241"/>
        <v>151.83089999999999</v>
      </c>
      <c r="M308" s="23">
        <v>486.63749999999999</v>
      </c>
      <c r="N308" s="23">
        <f t="shared" si="242"/>
        <v>486.63749999999999</v>
      </c>
      <c r="O308" s="23">
        <f t="shared" si="243"/>
        <v>638.46839999999997</v>
      </c>
      <c r="P308" s="46"/>
    </row>
    <row r="309" spans="1:16" x14ac:dyDescent="0.25">
      <c r="A309" s="60">
        <f>IF(G309&lt;&gt;"",1+MAX($A$13:A308),"")</f>
        <v>199</v>
      </c>
      <c r="C309" s="16" t="s">
        <v>45</v>
      </c>
      <c r="D309" s="59" t="s">
        <v>270</v>
      </c>
      <c r="E309" s="31">
        <v>2</v>
      </c>
      <c r="F309" s="39">
        <f>VLOOKUP(H309,'PROJECT SUMMARY'!$C$26:$D$32,2,0)</f>
        <v>0</v>
      </c>
      <c r="G309" s="31">
        <f t="shared" si="244"/>
        <v>2</v>
      </c>
      <c r="H309" s="16" t="s">
        <v>10</v>
      </c>
      <c r="I309" s="62">
        <v>3.3473249999999997</v>
      </c>
      <c r="J309" s="71">
        <f t="shared" si="240"/>
        <v>6.6946499999999993</v>
      </c>
      <c r="K309" s="23">
        <v>52</v>
      </c>
      <c r="L309" s="23">
        <f t="shared" si="241"/>
        <v>348.12179999999995</v>
      </c>
      <c r="M309" s="23">
        <v>557.88749999999993</v>
      </c>
      <c r="N309" s="23">
        <f t="shared" si="242"/>
        <v>1115.7749999999999</v>
      </c>
      <c r="O309" s="23">
        <f t="shared" si="243"/>
        <v>1463.8967999999998</v>
      </c>
      <c r="P309" s="46"/>
    </row>
    <row r="310" spans="1:16" x14ac:dyDescent="0.25">
      <c r="A310" s="60">
        <f>IF(G310&lt;&gt;"",1+MAX($A$13:A309),"")</f>
        <v>200</v>
      </c>
      <c r="C310" s="16" t="s">
        <v>45</v>
      </c>
      <c r="D310" s="59" t="s">
        <v>267</v>
      </c>
      <c r="E310" s="31">
        <v>15</v>
      </c>
      <c r="F310" s="39">
        <f>VLOOKUP(H310,'PROJECT SUMMARY'!$C$26:$D$32,2,0)</f>
        <v>0</v>
      </c>
      <c r="G310" s="31">
        <f t="shared" si="244"/>
        <v>15</v>
      </c>
      <c r="H310" s="16" t="s">
        <v>10</v>
      </c>
      <c r="I310" s="62">
        <v>3.5749431</v>
      </c>
      <c r="J310" s="71">
        <f t="shared" si="240"/>
        <v>53.624146500000002</v>
      </c>
      <c r="K310" s="23">
        <v>52</v>
      </c>
      <c r="L310" s="23">
        <f t="shared" si="241"/>
        <v>2788.455618</v>
      </c>
      <c r="M310" s="23">
        <v>595.82384999999999</v>
      </c>
      <c r="N310" s="23">
        <f t="shared" si="242"/>
        <v>8937.3577499999992</v>
      </c>
      <c r="O310" s="23">
        <f t="shared" si="243"/>
        <v>11725.813367999999</v>
      </c>
      <c r="P310" s="46"/>
    </row>
    <row r="311" spans="1:16" x14ac:dyDescent="0.25">
      <c r="A311" s="60">
        <f>IF(G311&lt;&gt;"",1+MAX($A$13:A310),"")</f>
        <v>201</v>
      </c>
      <c r="C311" s="16" t="s">
        <v>45</v>
      </c>
      <c r="D311" s="59" t="s">
        <v>261</v>
      </c>
      <c r="E311" s="31">
        <v>1</v>
      </c>
      <c r="F311" s="39">
        <f>VLOOKUP(H311,'PROJECT SUMMARY'!$C$26:$D$32,2,0)</f>
        <v>0</v>
      </c>
      <c r="G311" s="31">
        <f t="shared" ref="G311:G325" si="245">E311*(1+F311)</f>
        <v>1</v>
      </c>
      <c r="H311" s="16" t="s">
        <v>10</v>
      </c>
      <c r="I311" s="62">
        <v>1.36971</v>
      </c>
      <c r="J311" s="71">
        <f t="shared" si="240"/>
        <v>1.36971</v>
      </c>
      <c r="K311" s="23">
        <v>52</v>
      </c>
      <c r="L311" s="23">
        <f t="shared" si="241"/>
        <v>71.224919999999997</v>
      </c>
      <c r="M311" s="23">
        <v>228.285</v>
      </c>
      <c r="N311" s="23">
        <f t="shared" si="242"/>
        <v>228.285</v>
      </c>
      <c r="O311" s="23">
        <f t="shared" si="243"/>
        <v>299.50991999999997</v>
      </c>
      <c r="P311" s="46"/>
    </row>
    <row r="312" spans="1:16" x14ac:dyDescent="0.25">
      <c r="A312" s="60">
        <f>IF(G312&lt;&gt;"",1+MAX($A$13:A311),"")</f>
        <v>202</v>
      </c>
      <c r="C312" s="16" t="s">
        <v>45</v>
      </c>
      <c r="D312" s="59" t="s">
        <v>260</v>
      </c>
      <c r="E312" s="31">
        <v>3</v>
      </c>
      <c r="F312" s="39">
        <f>VLOOKUP(H312,'PROJECT SUMMARY'!$C$26:$D$32,2,0)</f>
        <v>0</v>
      </c>
      <c r="G312" s="31">
        <f t="shared" si="245"/>
        <v>3</v>
      </c>
      <c r="H312" s="16" t="s">
        <v>10</v>
      </c>
      <c r="I312" s="62">
        <v>3.5037900000000004</v>
      </c>
      <c r="J312" s="71">
        <f t="shared" si="240"/>
        <v>10.511370000000001</v>
      </c>
      <c r="K312" s="23">
        <v>52</v>
      </c>
      <c r="L312" s="23">
        <f t="shared" si="241"/>
        <v>546.59124000000008</v>
      </c>
      <c r="M312" s="23">
        <v>583.96500000000003</v>
      </c>
      <c r="N312" s="23">
        <f t="shared" si="242"/>
        <v>1751.895</v>
      </c>
      <c r="O312" s="23">
        <f t="shared" si="243"/>
        <v>2298.4862400000002</v>
      </c>
      <c r="P312" s="46"/>
    </row>
    <row r="313" spans="1:16" x14ac:dyDescent="0.25">
      <c r="A313" s="60">
        <f>IF(G313&lt;&gt;"",1+MAX($A$13:A312),"")</f>
        <v>203</v>
      </c>
      <c r="C313" s="16" t="s">
        <v>45</v>
      </c>
      <c r="D313" s="59" t="s">
        <v>262</v>
      </c>
      <c r="E313" s="31">
        <v>2</v>
      </c>
      <c r="F313" s="39">
        <f>VLOOKUP(H313,'PROJECT SUMMARY'!$C$26:$D$32,2,0)</f>
        <v>0</v>
      </c>
      <c r="G313" s="31">
        <f t="shared" si="245"/>
        <v>2</v>
      </c>
      <c r="H313" s="16" t="s">
        <v>10</v>
      </c>
      <c r="I313" s="62">
        <v>3.42171</v>
      </c>
      <c r="J313" s="71">
        <f t="shared" si="240"/>
        <v>6.8434200000000001</v>
      </c>
      <c r="K313" s="23">
        <v>52</v>
      </c>
      <c r="L313" s="23">
        <f t="shared" si="241"/>
        <v>355.85784000000001</v>
      </c>
      <c r="M313" s="23">
        <v>570.28499999999997</v>
      </c>
      <c r="N313" s="23">
        <f t="shared" si="242"/>
        <v>1140.57</v>
      </c>
      <c r="O313" s="23">
        <f t="shared" si="243"/>
        <v>1496.4278399999998</v>
      </c>
      <c r="P313" s="46"/>
    </row>
    <row r="314" spans="1:16" x14ac:dyDescent="0.25">
      <c r="A314" s="60">
        <f>IF(G314&lt;&gt;"",1+MAX($A$13:A313),"")</f>
        <v>204</v>
      </c>
      <c r="C314" s="16" t="s">
        <v>45</v>
      </c>
      <c r="D314" s="59" t="s">
        <v>268</v>
      </c>
      <c r="E314" s="31">
        <v>9</v>
      </c>
      <c r="F314" s="39">
        <f>VLOOKUP(H314,'PROJECT SUMMARY'!$C$26:$D$32,2,0)</f>
        <v>0</v>
      </c>
      <c r="G314" s="31">
        <f t="shared" si="245"/>
        <v>9</v>
      </c>
      <c r="H314" s="16" t="s">
        <v>10</v>
      </c>
      <c r="I314" s="62">
        <v>4.0167900000000003</v>
      </c>
      <c r="J314" s="71">
        <f t="shared" si="240"/>
        <v>36.151110000000003</v>
      </c>
      <c r="K314" s="23">
        <v>52</v>
      </c>
      <c r="L314" s="23">
        <f t="shared" si="241"/>
        <v>1879.8577200000002</v>
      </c>
      <c r="M314" s="23">
        <v>669.46500000000003</v>
      </c>
      <c r="N314" s="23">
        <f t="shared" si="242"/>
        <v>6025.1850000000004</v>
      </c>
      <c r="O314" s="23">
        <f t="shared" si="243"/>
        <v>7905.0427200000004</v>
      </c>
      <c r="P314" s="46"/>
    </row>
    <row r="315" spans="1:16" x14ac:dyDescent="0.25">
      <c r="A315" s="60">
        <f>IF(G315&lt;&gt;"",1+MAX($A$13:A314),"")</f>
        <v>205</v>
      </c>
      <c r="C315" s="16" t="s">
        <v>45</v>
      </c>
      <c r="D315" s="59" t="s">
        <v>254</v>
      </c>
      <c r="E315" s="31">
        <v>1</v>
      </c>
      <c r="F315" s="39">
        <f>VLOOKUP(H315,'PROJECT SUMMARY'!$C$26:$D$32,2,0)</f>
        <v>0</v>
      </c>
      <c r="G315" s="31">
        <f t="shared" si="245"/>
        <v>1</v>
      </c>
      <c r="H315" s="16" t="s">
        <v>10</v>
      </c>
      <c r="I315" s="62">
        <v>4.3515225000000006</v>
      </c>
      <c r="J315" s="71">
        <f t="shared" si="240"/>
        <v>4.3515225000000006</v>
      </c>
      <c r="K315" s="23">
        <v>52</v>
      </c>
      <c r="L315" s="23">
        <f t="shared" si="241"/>
        <v>226.27917000000002</v>
      </c>
      <c r="M315" s="23">
        <v>725.25375000000008</v>
      </c>
      <c r="N315" s="23">
        <f t="shared" si="242"/>
        <v>725.25375000000008</v>
      </c>
      <c r="O315" s="23">
        <f t="shared" si="243"/>
        <v>951.5329200000001</v>
      </c>
      <c r="P315" s="46"/>
    </row>
    <row r="316" spans="1:16" x14ac:dyDescent="0.25">
      <c r="A316" s="60">
        <f>IF(G316&lt;&gt;"",1+MAX($A$13:A315),"")</f>
        <v>206</v>
      </c>
      <c r="C316" s="16" t="s">
        <v>45</v>
      </c>
      <c r="D316" s="59" t="s">
        <v>255</v>
      </c>
      <c r="E316" s="31">
        <v>2</v>
      </c>
      <c r="F316" s="39">
        <f>VLOOKUP(H316,'PROJECT SUMMARY'!$C$26:$D$32,2,0)</f>
        <v>0</v>
      </c>
      <c r="G316" s="31">
        <f t="shared" si="245"/>
        <v>2</v>
      </c>
      <c r="H316" s="16" t="s">
        <v>10</v>
      </c>
      <c r="I316" s="62">
        <v>4.6862550000000001</v>
      </c>
      <c r="J316" s="71">
        <f t="shared" si="240"/>
        <v>9.3725100000000001</v>
      </c>
      <c r="K316" s="23">
        <v>52</v>
      </c>
      <c r="L316" s="23">
        <f t="shared" si="241"/>
        <v>487.37052</v>
      </c>
      <c r="M316" s="23">
        <v>781.04250000000002</v>
      </c>
      <c r="N316" s="23">
        <f t="shared" si="242"/>
        <v>1562.085</v>
      </c>
      <c r="O316" s="23">
        <f t="shared" si="243"/>
        <v>2049.45552</v>
      </c>
      <c r="P316" s="46"/>
    </row>
    <row r="317" spans="1:16" x14ac:dyDescent="0.25">
      <c r="A317" s="60">
        <f>IF(G317&lt;&gt;"",1+MAX($A$13:A316),"")</f>
        <v>207</v>
      </c>
      <c r="C317" s="16" t="s">
        <v>45</v>
      </c>
      <c r="D317" s="59" t="s">
        <v>263</v>
      </c>
      <c r="E317" s="31">
        <v>3</v>
      </c>
      <c r="F317" s="39">
        <f>VLOOKUP(H317,'PROJECT SUMMARY'!$C$26:$D$32,2,0)</f>
        <v>0</v>
      </c>
      <c r="G317" s="31">
        <f t="shared" si="245"/>
        <v>3</v>
      </c>
      <c r="H317" s="16" t="s">
        <v>10</v>
      </c>
      <c r="I317" s="62">
        <v>4.7880000000000003</v>
      </c>
      <c r="J317" s="71">
        <f t="shared" si="240"/>
        <v>14.364000000000001</v>
      </c>
      <c r="K317" s="23">
        <v>52</v>
      </c>
      <c r="L317" s="23">
        <f t="shared" si="241"/>
        <v>746.928</v>
      </c>
      <c r="M317" s="23">
        <v>798</v>
      </c>
      <c r="N317" s="23">
        <f t="shared" si="242"/>
        <v>2394</v>
      </c>
      <c r="O317" s="23">
        <f t="shared" si="243"/>
        <v>3140.9279999999999</v>
      </c>
      <c r="P317" s="46"/>
    </row>
    <row r="318" spans="1:16" x14ac:dyDescent="0.25">
      <c r="A318" s="60">
        <f>IF(G318&lt;&gt;"",1+MAX($A$13:A317),"")</f>
        <v>208</v>
      </c>
      <c r="C318" s="16" t="s">
        <v>45</v>
      </c>
      <c r="D318" s="59" t="s">
        <v>277</v>
      </c>
      <c r="E318" s="31">
        <v>2</v>
      </c>
      <c r="F318" s="39">
        <f>VLOOKUP(H318,'PROJECT SUMMARY'!$C$26:$D$32,2,0)</f>
        <v>0</v>
      </c>
      <c r="G318" s="31">
        <f t="shared" si="245"/>
        <v>2</v>
      </c>
      <c r="H318" s="16" t="s">
        <v>10</v>
      </c>
      <c r="I318" s="62">
        <v>38.136420000000008</v>
      </c>
      <c r="J318" s="71">
        <f t="shared" si="240"/>
        <v>76.272840000000016</v>
      </c>
      <c r="K318" s="23">
        <v>52</v>
      </c>
      <c r="L318" s="23">
        <f t="shared" si="241"/>
        <v>3966.1876800000009</v>
      </c>
      <c r="M318" s="23">
        <v>9534.1050000000014</v>
      </c>
      <c r="N318" s="23">
        <f t="shared" si="242"/>
        <v>19068.210000000003</v>
      </c>
      <c r="O318" s="23">
        <f t="shared" si="243"/>
        <v>23034.397680000002</v>
      </c>
      <c r="P318" s="46"/>
    </row>
    <row r="319" spans="1:16" x14ac:dyDescent="0.25">
      <c r="A319" s="60">
        <f>IF(G319&lt;&gt;"",1+MAX($A$13:A318),"")</f>
        <v>209</v>
      </c>
      <c r="C319" s="16" t="s">
        <v>45</v>
      </c>
      <c r="D319" s="59" t="s">
        <v>265</v>
      </c>
      <c r="E319" s="31">
        <v>3</v>
      </c>
      <c r="F319" s="39">
        <f>VLOOKUP(H319,'PROJECT SUMMARY'!$C$26:$D$32,2,0)</f>
        <v>0</v>
      </c>
      <c r="G319" s="31">
        <f t="shared" si="245"/>
        <v>3</v>
      </c>
      <c r="H319" s="16" t="s">
        <v>10</v>
      </c>
      <c r="I319" s="62">
        <v>3.42</v>
      </c>
      <c r="J319" s="71">
        <f t="shared" si="240"/>
        <v>10.26</v>
      </c>
      <c r="K319" s="23">
        <v>52</v>
      </c>
      <c r="L319" s="23">
        <f t="shared" si="241"/>
        <v>533.52</v>
      </c>
      <c r="M319" s="23">
        <v>570</v>
      </c>
      <c r="N319" s="23">
        <f t="shared" si="242"/>
        <v>1710</v>
      </c>
      <c r="O319" s="23">
        <f t="shared" si="243"/>
        <v>2243.52</v>
      </c>
      <c r="P319" s="46"/>
    </row>
    <row r="320" spans="1:16" x14ac:dyDescent="0.25">
      <c r="A320" s="60">
        <f>IF(G320&lt;&gt;"",1+MAX($A$13:A319),"")</f>
        <v>210</v>
      </c>
      <c r="C320" s="16" t="s">
        <v>45</v>
      </c>
      <c r="D320" s="59" t="s">
        <v>276</v>
      </c>
      <c r="E320" s="31">
        <v>1</v>
      </c>
      <c r="F320" s="39">
        <f>VLOOKUP(H320,'PROJECT SUMMARY'!$C$26:$D$32,2,0)</f>
        <v>0</v>
      </c>
      <c r="G320" s="31">
        <f t="shared" si="245"/>
        <v>1</v>
      </c>
      <c r="H320" s="16" t="s">
        <v>10</v>
      </c>
      <c r="I320" s="62">
        <v>5.3557199999999998</v>
      </c>
      <c r="J320" s="71">
        <f t="shared" si="240"/>
        <v>5.3557199999999998</v>
      </c>
      <c r="K320" s="23">
        <v>52</v>
      </c>
      <c r="L320" s="23">
        <f t="shared" si="241"/>
        <v>278.49743999999998</v>
      </c>
      <c r="M320" s="23">
        <v>892.62</v>
      </c>
      <c r="N320" s="23">
        <f t="shared" si="242"/>
        <v>892.62</v>
      </c>
      <c r="O320" s="23">
        <f t="shared" si="243"/>
        <v>1171.11744</v>
      </c>
      <c r="P320" s="46"/>
    </row>
    <row r="321" spans="1:16" x14ac:dyDescent="0.25">
      <c r="A321" s="60">
        <f>IF(G321&lt;&gt;"",1+MAX($A$13:A320),"")</f>
        <v>211</v>
      </c>
      <c r="C321" s="16" t="s">
        <v>45</v>
      </c>
      <c r="D321" s="59" t="s">
        <v>266</v>
      </c>
      <c r="E321" s="31">
        <v>1</v>
      </c>
      <c r="F321" s="39">
        <f>VLOOKUP(H321,'PROJECT SUMMARY'!$C$26:$D$32,2,0)</f>
        <v>0</v>
      </c>
      <c r="G321" s="31">
        <f t="shared" si="245"/>
        <v>1</v>
      </c>
      <c r="H321" s="16" t="s">
        <v>10</v>
      </c>
      <c r="I321" s="62">
        <v>5.4720000000000004</v>
      </c>
      <c r="J321" s="71">
        <f t="shared" si="240"/>
        <v>5.4720000000000004</v>
      </c>
      <c r="K321" s="23">
        <v>52</v>
      </c>
      <c r="L321" s="23">
        <f t="shared" si="241"/>
        <v>284.54400000000004</v>
      </c>
      <c r="M321" s="23">
        <v>912</v>
      </c>
      <c r="N321" s="23">
        <f t="shared" si="242"/>
        <v>912</v>
      </c>
      <c r="O321" s="23">
        <f t="shared" si="243"/>
        <v>1196.5440000000001</v>
      </c>
      <c r="P321" s="46"/>
    </row>
    <row r="322" spans="1:16" x14ac:dyDescent="0.25">
      <c r="A322" s="60">
        <f>IF(G322&lt;&gt;"",1+MAX($A$13:A321),"")</f>
        <v>212</v>
      </c>
      <c r="C322" s="16" t="s">
        <v>45</v>
      </c>
      <c r="D322" s="59" t="s">
        <v>271</v>
      </c>
      <c r="E322" s="31">
        <v>4</v>
      </c>
      <c r="F322" s="39">
        <f>VLOOKUP(H322,'PROJECT SUMMARY'!$C$26:$D$32,2,0)</f>
        <v>0</v>
      </c>
      <c r="G322" s="31">
        <f t="shared" si="245"/>
        <v>4</v>
      </c>
      <c r="H322" s="16" t="s">
        <v>10</v>
      </c>
      <c r="I322" s="62">
        <v>8.0335800000000006</v>
      </c>
      <c r="J322" s="71">
        <f t="shared" si="240"/>
        <v>32.134320000000002</v>
      </c>
      <c r="K322" s="23">
        <v>52</v>
      </c>
      <c r="L322" s="23">
        <f t="shared" si="241"/>
        <v>1670.9846400000001</v>
      </c>
      <c r="M322" s="23">
        <v>1338.93</v>
      </c>
      <c r="N322" s="23">
        <f t="shared" si="242"/>
        <v>5355.72</v>
      </c>
      <c r="O322" s="23">
        <f t="shared" si="243"/>
        <v>7026.7046399999999</v>
      </c>
      <c r="P322" s="46"/>
    </row>
    <row r="323" spans="1:16" x14ac:dyDescent="0.25">
      <c r="A323" s="60">
        <f>IF(G323&lt;&gt;"",1+MAX($A$13:A322),"")</f>
        <v>213</v>
      </c>
      <c r="C323" s="16" t="s">
        <v>45</v>
      </c>
      <c r="D323" s="59" t="s">
        <v>256</v>
      </c>
      <c r="E323" s="31">
        <v>1</v>
      </c>
      <c r="F323" s="39">
        <f>VLOOKUP(H323,'PROJECT SUMMARY'!$C$26:$D$32,2,0)</f>
        <v>0</v>
      </c>
      <c r="G323" s="31">
        <f t="shared" si="245"/>
        <v>1</v>
      </c>
      <c r="H323" s="16" t="s">
        <v>10</v>
      </c>
      <c r="I323" s="62">
        <v>10.71144</v>
      </c>
      <c r="J323" s="71">
        <f t="shared" si="240"/>
        <v>10.71144</v>
      </c>
      <c r="K323" s="23">
        <v>52</v>
      </c>
      <c r="L323" s="23">
        <f t="shared" si="241"/>
        <v>556.99487999999997</v>
      </c>
      <c r="M323" s="23">
        <v>1785.24</v>
      </c>
      <c r="N323" s="23">
        <f t="shared" si="242"/>
        <v>1785.24</v>
      </c>
      <c r="O323" s="23">
        <f t="shared" si="243"/>
        <v>2342.23488</v>
      </c>
      <c r="P323" s="46"/>
    </row>
    <row r="324" spans="1:16" x14ac:dyDescent="0.25">
      <c r="A324" s="60">
        <f>IF(G324&lt;&gt;"",1+MAX($A$13:A323),"")</f>
        <v>214</v>
      </c>
      <c r="C324" s="16" t="s">
        <v>45</v>
      </c>
      <c r="D324" s="59" t="s">
        <v>275</v>
      </c>
      <c r="E324" s="31">
        <v>1</v>
      </c>
      <c r="F324" s="39">
        <f>VLOOKUP(H324,'PROJECT SUMMARY'!$C$26:$D$32,2,0)</f>
        <v>0</v>
      </c>
      <c r="G324" s="31">
        <f t="shared" si="245"/>
        <v>1</v>
      </c>
      <c r="H324" s="16" t="s">
        <v>10</v>
      </c>
      <c r="I324" s="62">
        <v>10.9390581</v>
      </c>
      <c r="J324" s="71">
        <f t="shared" si="240"/>
        <v>10.9390581</v>
      </c>
      <c r="K324" s="23">
        <v>52</v>
      </c>
      <c r="L324" s="23">
        <f t="shared" si="241"/>
        <v>568.83102120000001</v>
      </c>
      <c r="M324" s="23">
        <v>1823.17635</v>
      </c>
      <c r="N324" s="23">
        <f t="shared" si="242"/>
        <v>1823.17635</v>
      </c>
      <c r="O324" s="23">
        <f t="shared" si="243"/>
        <v>2392.0073711999999</v>
      </c>
      <c r="P324" s="46"/>
    </row>
    <row r="325" spans="1:16" x14ac:dyDescent="0.25">
      <c r="A325" s="60">
        <f>IF(G325&lt;&gt;"",1+MAX($A$13:A324),"")</f>
        <v>215</v>
      </c>
      <c r="C325" s="16" t="s">
        <v>45</v>
      </c>
      <c r="D325" s="59" t="s">
        <v>258</v>
      </c>
      <c r="E325" s="31">
        <v>2</v>
      </c>
      <c r="F325" s="39">
        <f>VLOOKUP(H325,'PROJECT SUMMARY'!$C$26:$D$32,2,0)</f>
        <v>0</v>
      </c>
      <c r="G325" s="31">
        <f t="shared" si="245"/>
        <v>2</v>
      </c>
      <c r="H325" s="16" t="s">
        <v>10</v>
      </c>
      <c r="I325" s="62">
        <v>12.050370000000001</v>
      </c>
      <c r="J325" s="71">
        <f t="shared" si="240"/>
        <v>24.100740000000002</v>
      </c>
      <c r="K325" s="23">
        <v>52</v>
      </c>
      <c r="L325" s="23">
        <f t="shared" si="241"/>
        <v>1253.23848</v>
      </c>
      <c r="M325" s="23">
        <v>2008.395</v>
      </c>
      <c r="N325" s="23">
        <f t="shared" si="242"/>
        <v>4016.79</v>
      </c>
      <c r="O325" s="23">
        <f t="shared" si="243"/>
        <v>5270.0284799999999</v>
      </c>
      <c r="P325" s="46"/>
    </row>
    <row r="326" spans="1:16" x14ac:dyDescent="0.25">
      <c r="A326" s="60" t="str">
        <f>IF(G326&lt;&gt;"",1+MAX($A$13:A325),"")</f>
        <v/>
      </c>
      <c r="I326" s="62"/>
      <c r="J326" s="71"/>
      <c r="P326" s="46"/>
    </row>
    <row r="327" spans="1:16" x14ac:dyDescent="0.25">
      <c r="A327" s="60" t="str">
        <f>IF(G327&lt;&gt;"",1+MAX($A$13:A326),"")</f>
        <v/>
      </c>
      <c r="D327" s="58" t="s">
        <v>47</v>
      </c>
      <c r="I327" s="62"/>
      <c r="J327" s="71"/>
      <c r="P327" s="46"/>
    </row>
    <row r="328" spans="1:16" x14ac:dyDescent="0.25">
      <c r="A328" s="60">
        <f>IF(G328&lt;&gt;"",1+MAX($A$13:A327),"")</f>
        <v>216</v>
      </c>
      <c r="C328" s="16" t="s">
        <v>45</v>
      </c>
      <c r="D328" s="59" t="s">
        <v>85</v>
      </c>
      <c r="E328" s="31">
        <v>67</v>
      </c>
      <c r="F328" s="39">
        <f>VLOOKUP(H328,'PROJECT SUMMARY'!$C$26:$D$32,2,0)</f>
        <v>0</v>
      </c>
      <c r="G328" s="31">
        <f t="shared" si="239"/>
        <v>67</v>
      </c>
      <c r="H328" s="16" t="s">
        <v>10</v>
      </c>
      <c r="I328" s="62">
        <v>2</v>
      </c>
      <c r="J328" s="71">
        <f t="shared" ref="J328" si="246">I328*G328</f>
        <v>134</v>
      </c>
      <c r="K328" s="23">
        <v>52</v>
      </c>
      <c r="L328" s="23">
        <f t="shared" ref="L328" si="247">K328*J328</f>
        <v>6968</v>
      </c>
      <c r="M328" s="23">
        <v>250</v>
      </c>
      <c r="N328" s="23">
        <f t="shared" si="242"/>
        <v>16750</v>
      </c>
      <c r="O328" s="23">
        <f t="shared" si="243"/>
        <v>23718</v>
      </c>
      <c r="P328" s="46"/>
    </row>
    <row r="329" spans="1:16" x14ac:dyDescent="0.25">
      <c r="A329" s="60" t="str">
        <f>IF(G329&lt;&gt;"",1+MAX($A$13:A328),"")</f>
        <v/>
      </c>
      <c r="I329" s="62"/>
      <c r="J329" s="71"/>
      <c r="P329" s="46"/>
    </row>
    <row r="330" spans="1:16" x14ac:dyDescent="0.25">
      <c r="A330" s="60" t="str">
        <f>IF(G330&lt;&gt;"",1+MAX($A$13:A329),"")</f>
        <v/>
      </c>
      <c r="D330" s="58" t="s">
        <v>417</v>
      </c>
      <c r="I330" s="62"/>
      <c r="J330" s="71"/>
      <c r="P330" s="46"/>
    </row>
    <row r="331" spans="1:16" x14ac:dyDescent="0.25">
      <c r="A331" s="60">
        <f>IF(G331&lt;&gt;"",1+MAX($A$13:A330),"")</f>
        <v>217</v>
      </c>
      <c r="C331" s="16" t="s">
        <v>45</v>
      </c>
      <c r="D331" s="59" t="s">
        <v>418</v>
      </c>
      <c r="E331" s="31">
        <v>290</v>
      </c>
      <c r="F331" s="39">
        <f>VLOOKUP(H331,'PROJECT SUMMARY'!$C$26:$D$32,2,0)</f>
        <v>0.05</v>
      </c>
      <c r="G331" s="31">
        <f>E331*(1+F331)</f>
        <v>304.5</v>
      </c>
      <c r="H331" s="16" t="s">
        <v>12</v>
      </c>
      <c r="I331" s="62">
        <v>0.35</v>
      </c>
      <c r="J331" s="71">
        <f>I331*G331</f>
        <v>106.57499999999999</v>
      </c>
      <c r="K331" s="23">
        <v>52</v>
      </c>
      <c r="L331" s="23">
        <f>K331*J331</f>
        <v>5541.9</v>
      </c>
      <c r="M331" s="23">
        <v>45.5</v>
      </c>
      <c r="N331" s="23">
        <f>M331*G331</f>
        <v>13854.75</v>
      </c>
      <c r="O331" s="23">
        <f>L331+N331</f>
        <v>19396.650000000001</v>
      </c>
      <c r="P331" s="46"/>
    </row>
    <row r="332" spans="1:16" x14ac:dyDescent="0.25">
      <c r="A332" s="60" t="str">
        <f>IF(G332&lt;&gt;"",1+MAX($A$13:A331),"")</f>
        <v/>
      </c>
      <c r="I332" s="62"/>
      <c r="J332" s="71"/>
      <c r="P332" s="46"/>
    </row>
    <row r="333" spans="1:16" x14ac:dyDescent="0.25">
      <c r="A333" s="60" t="str">
        <f>IF(G333&lt;&gt;"",1+MAX($A$13:A332),"")</f>
        <v/>
      </c>
      <c r="D333" s="58" t="s">
        <v>48</v>
      </c>
      <c r="I333" s="62"/>
      <c r="J333" s="71"/>
      <c r="P333" s="46"/>
    </row>
    <row r="334" spans="1:16" x14ac:dyDescent="0.25">
      <c r="A334" s="60">
        <f>IF(G334&lt;&gt;"",1+MAX($A$13:A333),"")</f>
        <v>218</v>
      </c>
      <c r="C334" s="16" t="s">
        <v>45</v>
      </c>
      <c r="D334" s="59" t="s">
        <v>248</v>
      </c>
      <c r="E334" s="31">
        <v>1</v>
      </c>
      <c r="F334" s="39">
        <f>VLOOKUP(H334,'PROJECT SUMMARY'!$C$26:$D$32,2,0)</f>
        <v>0</v>
      </c>
      <c r="G334" s="31">
        <f>E334*(1+F334)</f>
        <v>1</v>
      </c>
      <c r="H334" s="16" t="s">
        <v>10</v>
      </c>
      <c r="I334" s="62">
        <v>8.7412500000000009</v>
      </c>
      <c r="J334" s="71">
        <f>I334*G334</f>
        <v>8.7412500000000009</v>
      </c>
      <c r="K334" s="23">
        <v>52</v>
      </c>
      <c r="L334" s="23">
        <f>K334*J334</f>
        <v>454.54500000000007</v>
      </c>
      <c r="M334" s="23">
        <v>1456.875</v>
      </c>
      <c r="N334" s="23">
        <f>M334*G334</f>
        <v>1456.875</v>
      </c>
      <c r="O334" s="23">
        <f>L334+N334</f>
        <v>1911.42</v>
      </c>
      <c r="P334" s="46"/>
    </row>
    <row r="335" spans="1:16" x14ac:dyDescent="0.25">
      <c r="A335" s="60">
        <f>IF(G335&lt;&gt;"",1+MAX($A$13:A334),"")</f>
        <v>219</v>
      </c>
      <c r="C335" s="16" t="s">
        <v>45</v>
      </c>
      <c r="D335" s="59" t="s">
        <v>236</v>
      </c>
      <c r="E335" s="31">
        <v>2</v>
      </c>
      <c r="F335" s="39">
        <f>VLOOKUP(H335,'PROJECT SUMMARY'!$C$26:$D$32,2,0)</f>
        <v>0</v>
      </c>
      <c r="G335" s="31">
        <f t="shared" ref="G335:G361" si="248">E335*(1+F335)</f>
        <v>2</v>
      </c>
      <c r="H335" s="16" t="s">
        <v>10</v>
      </c>
      <c r="I335" s="62">
        <v>4.2403554000000003</v>
      </c>
      <c r="J335" s="71">
        <f t="shared" ref="J335:J361" si="249">I335*G335</f>
        <v>8.4807108000000007</v>
      </c>
      <c r="K335" s="23">
        <v>52</v>
      </c>
      <c r="L335" s="23">
        <f t="shared" ref="L335:L361" si="250">K335*J335</f>
        <v>440.99696160000002</v>
      </c>
      <c r="M335" s="23">
        <v>706.72590000000002</v>
      </c>
      <c r="N335" s="23">
        <f t="shared" ref="N335:N361" si="251">M335*G335</f>
        <v>1413.4518</v>
      </c>
      <c r="O335" s="23">
        <f t="shared" ref="O335:O361" si="252">L335+N335</f>
        <v>1854.4487616000001</v>
      </c>
      <c r="P335" s="46"/>
    </row>
    <row r="336" spans="1:16" x14ac:dyDescent="0.25">
      <c r="A336" s="60">
        <f>IF(G336&lt;&gt;"",1+MAX($A$13:A335),"")</f>
        <v>220</v>
      </c>
      <c r="C336" s="16" t="s">
        <v>45</v>
      </c>
      <c r="D336" s="59" t="s">
        <v>250</v>
      </c>
      <c r="E336" s="31">
        <v>1</v>
      </c>
      <c r="F336" s="39">
        <f>VLOOKUP(H336,'PROJECT SUMMARY'!$C$26:$D$32,2,0)</f>
        <v>0</v>
      </c>
      <c r="G336" s="31">
        <f t="shared" si="248"/>
        <v>1</v>
      </c>
      <c r="H336" s="16" t="s">
        <v>10</v>
      </c>
      <c r="I336" s="62">
        <v>4.7718900000000009</v>
      </c>
      <c r="J336" s="71">
        <f t="shared" si="249"/>
        <v>4.7718900000000009</v>
      </c>
      <c r="K336" s="23">
        <v>52</v>
      </c>
      <c r="L336" s="23">
        <f t="shared" si="250"/>
        <v>248.13828000000004</v>
      </c>
      <c r="M336" s="23">
        <v>795.31500000000005</v>
      </c>
      <c r="N336" s="23">
        <f t="shared" si="251"/>
        <v>795.31500000000005</v>
      </c>
      <c r="O336" s="23">
        <f t="shared" si="252"/>
        <v>1043.4532800000002</v>
      </c>
      <c r="P336" s="46"/>
    </row>
    <row r="337" spans="1:16" x14ac:dyDescent="0.25">
      <c r="A337" s="60">
        <f>IF(G337&lt;&gt;"",1+MAX($A$13:A336),"")</f>
        <v>221</v>
      </c>
      <c r="C337" s="16" t="s">
        <v>45</v>
      </c>
      <c r="D337" s="59" t="s">
        <v>243</v>
      </c>
      <c r="E337" s="31">
        <v>1</v>
      </c>
      <c r="F337" s="39">
        <f>VLOOKUP(H337,'PROJECT SUMMARY'!$C$26:$D$32,2,0)</f>
        <v>0</v>
      </c>
      <c r="G337" s="31">
        <f t="shared" si="248"/>
        <v>1</v>
      </c>
      <c r="H337" s="16" t="s">
        <v>10</v>
      </c>
      <c r="I337" s="62">
        <v>6.98854446</v>
      </c>
      <c r="J337" s="71">
        <f t="shared" si="249"/>
        <v>6.98854446</v>
      </c>
      <c r="K337" s="23">
        <v>52</v>
      </c>
      <c r="L337" s="23">
        <f t="shared" si="250"/>
        <v>363.40431192</v>
      </c>
      <c r="M337" s="23">
        <v>1164.7574099999999</v>
      </c>
      <c r="N337" s="23">
        <f t="shared" si="251"/>
        <v>1164.7574099999999</v>
      </c>
      <c r="O337" s="23">
        <f t="shared" si="252"/>
        <v>1528.16172192</v>
      </c>
      <c r="P337" s="46"/>
    </row>
    <row r="338" spans="1:16" x14ac:dyDescent="0.25">
      <c r="A338" s="60">
        <f>IF(G338&lt;&gt;"",1+MAX($A$13:A337),"")</f>
        <v>222</v>
      </c>
      <c r="C338" s="16" t="s">
        <v>45</v>
      </c>
      <c r="D338" s="59" t="s">
        <v>226</v>
      </c>
      <c r="E338" s="31">
        <v>1</v>
      </c>
      <c r="F338" s="39">
        <f>VLOOKUP(H338,'PROJECT SUMMARY'!$C$26:$D$32,2,0)</f>
        <v>0</v>
      </c>
      <c r="G338" s="31">
        <f t="shared" ref="G338:G356" si="253">E338*(1+F338)</f>
        <v>1</v>
      </c>
      <c r="H338" s="16" t="s">
        <v>10</v>
      </c>
      <c r="I338" s="62">
        <v>1.4430000000000001</v>
      </c>
      <c r="J338" s="71">
        <f t="shared" si="249"/>
        <v>1.4430000000000001</v>
      </c>
      <c r="K338" s="23">
        <v>52</v>
      </c>
      <c r="L338" s="23">
        <f t="shared" si="250"/>
        <v>75.036000000000001</v>
      </c>
      <c r="M338" s="23">
        <v>180.375</v>
      </c>
      <c r="N338" s="23">
        <f t="shared" si="251"/>
        <v>180.375</v>
      </c>
      <c r="O338" s="23">
        <f t="shared" si="252"/>
        <v>255.411</v>
      </c>
      <c r="P338" s="46"/>
    </row>
    <row r="339" spans="1:16" x14ac:dyDescent="0.25">
      <c r="A339" s="60">
        <f>IF(G339&lt;&gt;"",1+MAX($A$13:A338),"")</f>
        <v>223</v>
      </c>
      <c r="C339" s="16" t="s">
        <v>45</v>
      </c>
      <c r="D339" s="59" t="s">
        <v>227</v>
      </c>
      <c r="E339" s="31">
        <v>5</v>
      </c>
      <c r="F339" s="39">
        <f>VLOOKUP(H339,'PROJECT SUMMARY'!$C$26:$D$32,2,0)</f>
        <v>0</v>
      </c>
      <c r="G339" s="31">
        <f t="shared" si="253"/>
        <v>5</v>
      </c>
      <c r="H339" s="16" t="s">
        <v>10</v>
      </c>
      <c r="I339" s="62">
        <v>1.3320000000000001</v>
      </c>
      <c r="J339" s="71">
        <f t="shared" si="249"/>
        <v>6.66</v>
      </c>
      <c r="K339" s="23">
        <v>52</v>
      </c>
      <c r="L339" s="23">
        <f t="shared" si="250"/>
        <v>346.32</v>
      </c>
      <c r="M339" s="23">
        <v>222</v>
      </c>
      <c r="N339" s="23">
        <f t="shared" si="251"/>
        <v>1110</v>
      </c>
      <c r="O339" s="23">
        <f t="shared" si="252"/>
        <v>1456.32</v>
      </c>
      <c r="P339" s="46"/>
    </row>
    <row r="340" spans="1:16" x14ac:dyDescent="0.25">
      <c r="A340" s="60">
        <f>IF(G340&lt;&gt;"",1+MAX($A$13:A339),"")</f>
        <v>224</v>
      </c>
      <c r="C340" s="16" t="s">
        <v>45</v>
      </c>
      <c r="D340" s="59" t="s">
        <v>241</v>
      </c>
      <c r="E340" s="31">
        <v>1</v>
      </c>
      <c r="F340" s="39">
        <f>VLOOKUP(H340,'PROJECT SUMMARY'!$C$26:$D$32,2,0)</f>
        <v>0</v>
      </c>
      <c r="G340" s="31">
        <f t="shared" si="253"/>
        <v>1</v>
      </c>
      <c r="H340" s="16" t="s">
        <v>10</v>
      </c>
      <c r="I340" s="62">
        <v>8.6880932100000017</v>
      </c>
      <c r="J340" s="71">
        <f t="shared" si="249"/>
        <v>8.6880932100000017</v>
      </c>
      <c r="K340" s="23">
        <v>52</v>
      </c>
      <c r="L340" s="23">
        <f t="shared" si="250"/>
        <v>451.7808469200001</v>
      </c>
      <c r="M340" s="23">
        <v>1448.0155350000002</v>
      </c>
      <c r="N340" s="23">
        <f t="shared" si="251"/>
        <v>1448.0155350000002</v>
      </c>
      <c r="O340" s="23">
        <f t="shared" si="252"/>
        <v>1899.7963819200004</v>
      </c>
      <c r="P340" s="46"/>
    </row>
    <row r="341" spans="1:16" x14ac:dyDescent="0.25">
      <c r="A341" s="60">
        <f>IF(G341&lt;&gt;"",1+MAX($A$13:A340),"")</f>
        <v>225</v>
      </c>
      <c r="C341" s="16" t="s">
        <v>45</v>
      </c>
      <c r="D341" s="59" t="s">
        <v>228</v>
      </c>
      <c r="E341" s="31">
        <v>6</v>
      </c>
      <c r="F341" s="39">
        <f>VLOOKUP(H341,'PROJECT SUMMARY'!$C$26:$D$32,2,0)</f>
        <v>0</v>
      </c>
      <c r="G341" s="31">
        <f t="shared" si="253"/>
        <v>6</v>
      </c>
      <c r="H341" s="16" t="s">
        <v>10</v>
      </c>
      <c r="I341" s="62">
        <v>0.57720000000000005</v>
      </c>
      <c r="J341" s="71">
        <f t="shared" si="249"/>
        <v>3.4632000000000005</v>
      </c>
      <c r="K341" s="23">
        <v>52</v>
      </c>
      <c r="L341" s="23">
        <f t="shared" si="250"/>
        <v>180.08640000000003</v>
      </c>
      <c r="M341" s="23">
        <v>96.2</v>
      </c>
      <c r="N341" s="23">
        <f t="shared" si="251"/>
        <v>577.20000000000005</v>
      </c>
      <c r="O341" s="23">
        <f t="shared" si="252"/>
        <v>757.28640000000007</v>
      </c>
      <c r="P341" s="46"/>
    </row>
    <row r="342" spans="1:16" x14ac:dyDescent="0.25">
      <c r="A342" s="60">
        <f>IF(G342&lt;&gt;"",1+MAX($A$13:A341),"")</f>
        <v>226</v>
      </c>
      <c r="C342" s="16" t="s">
        <v>45</v>
      </c>
      <c r="D342" s="59" t="s">
        <v>244</v>
      </c>
      <c r="E342" s="31">
        <v>1</v>
      </c>
      <c r="F342" s="39">
        <f>VLOOKUP(H342,'PROJECT SUMMARY'!$C$26:$D$32,2,0)</f>
        <v>0</v>
      </c>
      <c r="G342" s="31">
        <f t="shared" si="253"/>
        <v>1</v>
      </c>
      <c r="H342" s="16" t="s">
        <v>10</v>
      </c>
      <c r="I342" s="62">
        <v>0.60413600000000012</v>
      </c>
      <c r="J342" s="71">
        <f t="shared" si="249"/>
        <v>0.60413600000000012</v>
      </c>
      <c r="K342" s="23">
        <v>52</v>
      </c>
      <c r="L342" s="23">
        <f t="shared" si="250"/>
        <v>31.415072000000006</v>
      </c>
      <c r="M342" s="23">
        <v>75.51700000000001</v>
      </c>
      <c r="N342" s="23">
        <f t="shared" si="251"/>
        <v>75.51700000000001</v>
      </c>
      <c r="O342" s="23">
        <f t="shared" si="252"/>
        <v>106.93207200000002</v>
      </c>
      <c r="P342" s="46"/>
    </row>
    <row r="343" spans="1:16" x14ac:dyDescent="0.25">
      <c r="A343" s="60">
        <f>IF(G343&lt;&gt;"",1+MAX($A$13:A342),"")</f>
        <v>227</v>
      </c>
      <c r="C343" s="16" t="s">
        <v>45</v>
      </c>
      <c r="D343" s="59" t="s">
        <v>231</v>
      </c>
      <c r="E343" s="31">
        <v>3</v>
      </c>
      <c r="F343" s="39">
        <f>VLOOKUP(H343,'PROJECT SUMMARY'!$C$26:$D$32,2,0)</f>
        <v>0</v>
      </c>
      <c r="G343" s="31">
        <f t="shared" si="253"/>
        <v>3</v>
      </c>
      <c r="H343" s="16" t="s">
        <v>10</v>
      </c>
      <c r="I343" s="62">
        <v>1.3875</v>
      </c>
      <c r="J343" s="71">
        <f t="shared" si="249"/>
        <v>4.1624999999999996</v>
      </c>
      <c r="K343" s="23">
        <v>52</v>
      </c>
      <c r="L343" s="23">
        <f t="shared" si="250"/>
        <v>216.45</v>
      </c>
      <c r="M343" s="23">
        <v>231.25</v>
      </c>
      <c r="N343" s="23">
        <f t="shared" si="251"/>
        <v>693.75</v>
      </c>
      <c r="O343" s="23">
        <f t="shared" si="252"/>
        <v>910.2</v>
      </c>
      <c r="P343" s="46"/>
    </row>
    <row r="344" spans="1:16" x14ac:dyDescent="0.25">
      <c r="A344" s="60">
        <f>IF(G344&lt;&gt;"",1+MAX($A$13:A343),"")</f>
        <v>228</v>
      </c>
      <c r="C344" s="16" t="s">
        <v>45</v>
      </c>
      <c r="D344" s="59" t="s">
        <v>252</v>
      </c>
      <c r="E344" s="31">
        <v>1</v>
      </c>
      <c r="F344" s="39">
        <f>VLOOKUP(H344,'PROJECT SUMMARY'!$C$26:$D$32,2,0)</f>
        <v>0</v>
      </c>
      <c r="G344" s="31">
        <f t="shared" si="253"/>
        <v>1</v>
      </c>
      <c r="H344" s="16" t="s">
        <v>10</v>
      </c>
      <c r="I344" s="62">
        <v>2.0812499999999998</v>
      </c>
      <c r="J344" s="71">
        <f t="shared" si="249"/>
        <v>2.0812499999999998</v>
      </c>
      <c r="K344" s="23">
        <v>52</v>
      </c>
      <c r="L344" s="23">
        <f t="shared" si="250"/>
        <v>108.22499999999999</v>
      </c>
      <c r="M344" s="23">
        <v>346.875</v>
      </c>
      <c r="N344" s="23">
        <f t="shared" si="251"/>
        <v>346.875</v>
      </c>
      <c r="O344" s="23">
        <f t="shared" si="252"/>
        <v>455.1</v>
      </c>
      <c r="P344" s="46"/>
    </row>
    <row r="345" spans="1:16" x14ac:dyDescent="0.25">
      <c r="A345" s="60">
        <f>IF(G345&lt;&gt;"",1+MAX($A$13:A344),"")</f>
        <v>229</v>
      </c>
      <c r="C345" s="16" t="s">
        <v>45</v>
      </c>
      <c r="D345" s="59" t="s">
        <v>233</v>
      </c>
      <c r="E345" s="31">
        <v>2</v>
      </c>
      <c r="F345" s="39">
        <f>VLOOKUP(H345,'PROJECT SUMMARY'!$C$26:$D$32,2,0)</f>
        <v>0</v>
      </c>
      <c r="G345" s="31">
        <f t="shared" si="253"/>
        <v>2</v>
      </c>
      <c r="H345" s="16" t="s">
        <v>10</v>
      </c>
      <c r="I345" s="62">
        <v>2.2200000000000002</v>
      </c>
      <c r="J345" s="71">
        <f t="shared" si="249"/>
        <v>4.4400000000000004</v>
      </c>
      <c r="K345" s="23">
        <v>52</v>
      </c>
      <c r="L345" s="23">
        <f t="shared" si="250"/>
        <v>230.88000000000002</v>
      </c>
      <c r="M345" s="23">
        <v>370</v>
      </c>
      <c r="N345" s="23">
        <f t="shared" si="251"/>
        <v>740</v>
      </c>
      <c r="O345" s="23">
        <f t="shared" si="252"/>
        <v>970.88</v>
      </c>
      <c r="P345" s="46"/>
    </row>
    <row r="346" spans="1:16" x14ac:dyDescent="0.25">
      <c r="A346" s="60">
        <f>IF(G346&lt;&gt;"",1+MAX($A$13:A345),"")</f>
        <v>230</v>
      </c>
      <c r="C346" s="16" t="s">
        <v>45</v>
      </c>
      <c r="D346" s="59" t="s">
        <v>230</v>
      </c>
      <c r="E346" s="31">
        <v>1</v>
      </c>
      <c r="F346" s="39">
        <f>VLOOKUP(H346,'PROJECT SUMMARY'!$C$26:$D$32,2,0)</f>
        <v>0</v>
      </c>
      <c r="G346" s="31">
        <f t="shared" si="253"/>
        <v>1</v>
      </c>
      <c r="H346" s="16" t="s">
        <v>10</v>
      </c>
      <c r="I346" s="62">
        <v>2.8149599999999997</v>
      </c>
      <c r="J346" s="71">
        <f t="shared" si="249"/>
        <v>2.8149599999999997</v>
      </c>
      <c r="K346" s="23">
        <v>52</v>
      </c>
      <c r="L346" s="23">
        <f t="shared" si="250"/>
        <v>146.37791999999999</v>
      </c>
      <c r="M346" s="23">
        <v>469.15999999999997</v>
      </c>
      <c r="N346" s="23">
        <f t="shared" si="251"/>
        <v>469.15999999999997</v>
      </c>
      <c r="O346" s="23">
        <f t="shared" si="252"/>
        <v>615.53791999999999</v>
      </c>
      <c r="P346" s="46"/>
    </row>
    <row r="347" spans="1:16" x14ac:dyDescent="0.25">
      <c r="A347" s="60">
        <f>IF(G347&lt;&gt;"",1+MAX($A$13:A346),"")</f>
        <v>231</v>
      </c>
      <c r="C347" s="16" t="s">
        <v>45</v>
      </c>
      <c r="D347" s="59" t="s">
        <v>246</v>
      </c>
      <c r="E347" s="31">
        <v>1</v>
      </c>
      <c r="F347" s="39">
        <f>VLOOKUP(H347,'PROJECT SUMMARY'!$C$26:$D$32,2,0)</f>
        <v>0</v>
      </c>
      <c r="G347" s="31">
        <f t="shared" si="253"/>
        <v>1</v>
      </c>
      <c r="H347" s="16" t="s">
        <v>10</v>
      </c>
      <c r="I347" s="62">
        <v>1.2949999999999999</v>
      </c>
      <c r="J347" s="71">
        <f t="shared" si="249"/>
        <v>1.2949999999999999</v>
      </c>
      <c r="K347" s="23">
        <v>52</v>
      </c>
      <c r="L347" s="23">
        <f t="shared" si="250"/>
        <v>67.34</v>
      </c>
      <c r="M347" s="23">
        <v>161.875</v>
      </c>
      <c r="N347" s="23">
        <f t="shared" si="251"/>
        <v>161.875</v>
      </c>
      <c r="O347" s="23">
        <f t="shared" si="252"/>
        <v>229.215</v>
      </c>
      <c r="P347" s="46"/>
    </row>
    <row r="348" spans="1:16" x14ac:dyDescent="0.25">
      <c r="A348" s="60">
        <f>IF(G348&lt;&gt;"",1+MAX($A$13:A347),"")</f>
        <v>232</v>
      </c>
      <c r="C348" s="16" t="s">
        <v>45</v>
      </c>
      <c r="D348" s="59" t="s">
        <v>232</v>
      </c>
      <c r="E348" s="31">
        <v>1</v>
      </c>
      <c r="F348" s="39">
        <f>VLOOKUP(H348,'PROJECT SUMMARY'!$C$26:$D$32,2,0)</f>
        <v>0</v>
      </c>
      <c r="G348" s="31">
        <f t="shared" si="253"/>
        <v>1</v>
      </c>
      <c r="H348" s="16" t="s">
        <v>10</v>
      </c>
      <c r="I348" s="62">
        <v>3.552</v>
      </c>
      <c r="J348" s="71">
        <f t="shared" si="249"/>
        <v>3.552</v>
      </c>
      <c r="K348" s="23">
        <v>52</v>
      </c>
      <c r="L348" s="23">
        <f t="shared" si="250"/>
        <v>184.70400000000001</v>
      </c>
      <c r="M348" s="23">
        <v>592</v>
      </c>
      <c r="N348" s="23">
        <f t="shared" si="251"/>
        <v>592</v>
      </c>
      <c r="O348" s="23">
        <f t="shared" si="252"/>
        <v>776.70399999999995</v>
      </c>
      <c r="P348" s="46"/>
    </row>
    <row r="349" spans="1:16" x14ac:dyDescent="0.25">
      <c r="A349" s="60">
        <f>IF(G349&lt;&gt;"",1+MAX($A$13:A348),"")</f>
        <v>233</v>
      </c>
      <c r="C349" s="16" t="s">
        <v>45</v>
      </c>
      <c r="D349" s="59" t="s">
        <v>235</v>
      </c>
      <c r="E349" s="31">
        <v>2</v>
      </c>
      <c r="F349" s="39">
        <f>VLOOKUP(H349,'PROJECT SUMMARY'!$C$26:$D$32,2,0)</f>
        <v>0</v>
      </c>
      <c r="G349" s="31">
        <f t="shared" si="253"/>
        <v>2</v>
      </c>
      <c r="H349" s="16" t="s">
        <v>10</v>
      </c>
      <c r="I349" s="62">
        <v>3.996</v>
      </c>
      <c r="J349" s="71">
        <f t="shared" si="249"/>
        <v>7.992</v>
      </c>
      <c r="K349" s="23">
        <v>52</v>
      </c>
      <c r="L349" s="23">
        <f t="shared" si="250"/>
        <v>415.584</v>
      </c>
      <c r="M349" s="23">
        <v>666</v>
      </c>
      <c r="N349" s="23">
        <f t="shared" si="251"/>
        <v>1332</v>
      </c>
      <c r="O349" s="23">
        <f t="shared" si="252"/>
        <v>1747.5840000000001</v>
      </c>
      <c r="P349" s="46"/>
    </row>
    <row r="350" spans="1:16" x14ac:dyDescent="0.25">
      <c r="A350" s="60">
        <f>IF(G350&lt;&gt;"",1+MAX($A$13:A349),"")</f>
        <v>234</v>
      </c>
      <c r="C350" s="16" t="s">
        <v>45</v>
      </c>
      <c r="D350" s="59" t="s">
        <v>234</v>
      </c>
      <c r="E350" s="31">
        <v>2</v>
      </c>
      <c r="F350" s="39">
        <f>VLOOKUP(H350,'PROJECT SUMMARY'!$C$26:$D$32,2,0)</f>
        <v>0</v>
      </c>
      <c r="G350" s="31">
        <f t="shared" si="253"/>
        <v>2</v>
      </c>
      <c r="H350" s="16" t="s">
        <v>10</v>
      </c>
      <c r="I350" s="62">
        <v>2.7749999999999999</v>
      </c>
      <c r="J350" s="71">
        <f t="shared" si="249"/>
        <v>5.55</v>
      </c>
      <c r="K350" s="23">
        <v>52</v>
      </c>
      <c r="L350" s="23">
        <f t="shared" si="250"/>
        <v>288.59999999999997</v>
      </c>
      <c r="M350" s="23">
        <v>462.5</v>
      </c>
      <c r="N350" s="23">
        <f t="shared" si="251"/>
        <v>925</v>
      </c>
      <c r="O350" s="23">
        <f t="shared" si="252"/>
        <v>1213.5999999999999</v>
      </c>
      <c r="P350" s="46"/>
    </row>
    <row r="351" spans="1:16" x14ac:dyDescent="0.25">
      <c r="A351" s="60">
        <f>IF(G351&lt;&gt;"",1+MAX($A$13:A350),"")</f>
        <v>235</v>
      </c>
      <c r="C351" s="16" t="s">
        <v>45</v>
      </c>
      <c r="D351" s="59" t="s">
        <v>240</v>
      </c>
      <c r="E351" s="31">
        <v>1</v>
      </c>
      <c r="F351" s="39">
        <f>VLOOKUP(H351,'PROJECT SUMMARY'!$C$26:$D$32,2,0)</f>
        <v>0</v>
      </c>
      <c r="G351" s="31">
        <f t="shared" si="253"/>
        <v>1</v>
      </c>
      <c r="H351" s="16" t="s">
        <v>10</v>
      </c>
      <c r="I351" s="62">
        <v>4.4400000000000004</v>
      </c>
      <c r="J351" s="71">
        <f t="shared" si="249"/>
        <v>4.4400000000000004</v>
      </c>
      <c r="K351" s="23">
        <v>52</v>
      </c>
      <c r="L351" s="23">
        <f t="shared" si="250"/>
        <v>230.88000000000002</v>
      </c>
      <c r="M351" s="23">
        <v>740</v>
      </c>
      <c r="N351" s="23">
        <f t="shared" si="251"/>
        <v>740</v>
      </c>
      <c r="O351" s="23">
        <f t="shared" si="252"/>
        <v>970.88</v>
      </c>
      <c r="P351" s="46"/>
    </row>
    <row r="352" spans="1:16" x14ac:dyDescent="0.25">
      <c r="A352" s="60">
        <f>IF(G352&lt;&gt;"",1+MAX($A$13:A351),"")</f>
        <v>236</v>
      </c>
      <c r="C352" s="16" t="s">
        <v>45</v>
      </c>
      <c r="D352" s="59" t="s">
        <v>251</v>
      </c>
      <c r="E352" s="31">
        <v>1</v>
      </c>
      <c r="F352" s="39">
        <f>VLOOKUP(H352,'PROJECT SUMMARY'!$C$26:$D$32,2,0)</f>
        <v>0</v>
      </c>
      <c r="G352" s="31">
        <f t="shared" si="253"/>
        <v>1</v>
      </c>
      <c r="H352" s="16" t="s">
        <v>10</v>
      </c>
      <c r="I352" s="62">
        <v>4.6619999999999999</v>
      </c>
      <c r="J352" s="71">
        <f t="shared" si="249"/>
        <v>4.6619999999999999</v>
      </c>
      <c r="K352" s="23">
        <v>52</v>
      </c>
      <c r="L352" s="23">
        <f t="shared" si="250"/>
        <v>242.42400000000001</v>
      </c>
      <c r="M352" s="23">
        <v>777</v>
      </c>
      <c r="N352" s="23">
        <f t="shared" si="251"/>
        <v>777</v>
      </c>
      <c r="O352" s="23">
        <f t="shared" si="252"/>
        <v>1019.424</v>
      </c>
      <c r="P352" s="46"/>
    </row>
    <row r="353" spans="1:16" x14ac:dyDescent="0.25">
      <c r="A353" s="60">
        <f>IF(G353&lt;&gt;"",1+MAX($A$13:A352),"")</f>
        <v>237</v>
      </c>
      <c r="C353" s="16" t="s">
        <v>45</v>
      </c>
      <c r="D353" s="59" t="s">
        <v>249</v>
      </c>
      <c r="E353" s="31">
        <v>1</v>
      </c>
      <c r="F353" s="39">
        <f>VLOOKUP(H353,'PROJECT SUMMARY'!$C$26:$D$32,2,0)</f>
        <v>0</v>
      </c>
      <c r="G353" s="31">
        <f t="shared" si="253"/>
        <v>1</v>
      </c>
      <c r="H353" s="16" t="s">
        <v>10</v>
      </c>
      <c r="I353" s="62">
        <v>1.8263199999999999</v>
      </c>
      <c r="J353" s="71">
        <f t="shared" si="249"/>
        <v>1.8263199999999999</v>
      </c>
      <c r="K353" s="23">
        <v>52</v>
      </c>
      <c r="L353" s="23">
        <f t="shared" si="250"/>
        <v>94.968639999999994</v>
      </c>
      <c r="M353" s="23">
        <v>228.29</v>
      </c>
      <c r="N353" s="23">
        <f t="shared" si="251"/>
        <v>228.29</v>
      </c>
      <c r="O353" s="23">
        <f t="shared" si="252"/>
        <v>323.25864000000001</v>
      </c>
      <c r="P353" s="46"/>
    </row>
    <row r="354" spans="1:16" x14ac:dyDescent="0.25">
      <c r="A354" s="60">
        <f>IF(G354&lt;&gt;"",1+MAX($A$13:A353),"")</f>
        <v>238</v>
      </c>
      <c r="C354" s="16" t="s">
        <v>45</v>
      </c>
      <c r="D354" s="59" t="s">
        <v>229</v>
      </c>
      <c r="E354" s="31">
        <v>1</v>
      </c>
      <c r="F354" s="39">
        <f>VLOOKUP(H354,'PROJECT SUMMARY'!$C$26:$D$32,2,0)</f>
        <v>0</v>
      </c>
      <c r="G354" s="31">
        <f t="shared" si="253"/>
        <v>1</v>
      </c>
      <c r="H354" s="16" t="s">
        <v>10</v>
      </c>
      <c r="I354" s="62">
        <v>3.766785</v>
      </c>
      <c r="J354" s="71">
        <f t="shared" si="249"/>
        <v>3.766785</v>
      </c>
      <c r="K354" s="23">
        <v>52</v>
      </c>
      <c r="L354" s="23">
        <f t="shared" si="250"/>
        <v>195.87281999999999</v>
      </c>
      <c r="M354" s="23">
        <v>627.79750000000001</v>
      </c>
      <c r="N354" s="23">
        <f t="shared" si="251"/>
        <v>627.79750000000001</v>
      </c>
      <c r="O354" s="23">
        <f t="shared" si="252"/>
        <v>823.67031999999995</v>
      </c>
      <c r="P354" s="46"/>
    </row>
    <row r="355" spans="1:16" x14ac:dyDescent="0.25">
      <c r="A355" s="60">
        <f>IF(G355&lt;&gt;"",1+MAX($A$13:A354),"")</f>
        <v>239</v>
      </c>
      <c r="C355" s="16" t="s">
        <v>45</v>
      </c>
      <c r="D355" s="59" t="s">
        <v>239</v>
      </c>
      <c r="E355" s="31">
        <v>1</v>
      </c>
      <c r="F355" s="39">
        <f>VLOOKUP(H355,'PROJECT SUMMARY'!$C$26:$D$32,2,0)</f>
        <v>0</v>
      </c>
      <c r="G355" s="31">
        <f t="shared" si="253"/>
        <v>1</v>
      </c>
      <c r="H355" s="16" t="s">
        <v>10</v>
      </c>
      <c r="I355" s="62">
        <v>5.4789599999999998</v>
      </c>
      <c r="J355" s="71">
        <f t="shared" si="249"/>
        <v>5.4789599999999998</v>
      </c>
      <c r="K355" s="23">
        <v>52</v>
      </c>
      <c r="L355" s="23">
        <f t="shared" si="250"/>
        <v>284.90591999999998</v>
      </c>
      <c r="M355" s="23">
        <v>913.16</v>
      </c>
      <c r="N355" s="23">
        <f t="shared" si="251"/>
        <v>913.16</v>
      </c>
      <c r="O355" s="23">
        <f t="shared" si="252"/>
        <v>1198.06592</v>
      </c>
      <c r="P355" s="46"/>
    </row>
    <row r="356" spans="1:16" x14ac:dyDescent="0.25">
      <c r="A356" s="60">
        <f>IF(G356&lt;&gt;"",1+MAX($A$13:A355),"")</f>
        <v>240</v>
      </c>
      <c r="C356" s="16" t="s">
        <v>45</v>
      </c>
      <c r="D356" s="59" t="s">
        <v>245</v>
      </c>
      <c r="E356" s="31">
        <v>8</v>
      </c>
      <c r="F356" s="39">
        <f>VLOOKUP(H356,'PROJECT SUMMARY'!$C$26:$D$32,2,0)</f>
        <v>0</v>
      </c>
      <c r="G356" s="31">
        <f t="shared" si="253"/>
        <v>8</v>
      </c>
      <c r="H356" s="16" t="s">
        <v>10</v>
      </c>
      <c r="I356" s="62">
        <v>1.9026954</v>
      </c>
      <c r="J356" s="71">
        <f t="shared" si="249"/>
        <v>15.2215632</v>
      </c>
      <c r="K356" s="23">
        <v>52</v>
      </c>
      <c r="L356" s="23">
        <f t="shared" si="250"/>
        <v>791.52128640000001</v>
      </c>
      <c r="M356" s="23">
        <v>317.11590000000001</v>
      </c>
      <c r="N356" s="23">
        <f t="shared" si="251"/>
        <v>2536.9272000000001</v>
      </c>
      <c r="O356" s="23">
        <f t="shared" si="252"/>
        <v>3328.4484864000001</v>
      </c>
      <c r="P356" s="46"/>
    </row>
    <row r="357" spans="1:16" x14ac:dyDescent="0.25">
      <c r="A357" s="60">
        <f>IF(G357&lt;&gt;"",1+MAX($A$13:A356),"")</f>
        <v>241</v>
      </c>
      <c r="C357" s="16" t="s">
        <v>45</v>
      </c>
      <c r="D357" s="59" t="s">
        <v>238</v>
      </c>
      <c r="E357" s="31">
        <v>1</v>
      </c>
      <c r="F357" s="39">
        <f>VLOOKUP(H357,'PROJECT SUMMARY'!$C$26:$D$32,2,0)</f>
        <v>0</v>
      </c>
      <c r="G357" s="31">
        <f t="shared" si="248"/>
        <v>1</v>
      </c>
      <c r="H357" s="16" t="s">
        <v>10</v>
      </c>
      <c r="I357" s="62">
        <v>11.4033075</v>
      </c>
      <c r="J357" s="71">
        <f t="shared" si="249"/>
        <v>11.4033075</v>
      </c>
      <c r="K357" s="23">
        <v>52</v>
      </c>
      <c r="L357" s="23">
        <f t="shared" si="250"/>
        <v>592.97199000000001</v>
      </c>
      <c r="M357" s="23">
        <v>1900.55125</v>
      </c>
      <c r="N357" s="23">
        <f t="shared" si="251"/>
        <v>1900.55125</v>
      </c>
      <c r="O357" s="23">
        <f t="shared" si="252"/>
        <v>2493.52324</v>
      </c>
      <c r="P357" s="46"/>
    </row>
    <row r="358" spans="1:16" x14ac:dyDescent="0.25">
      <c r="A358" s="60">
        <f>IF(G358&lt;&gt;"",1+MAX($A$13:A357),"")</f>
        <v>242</v>
      </c>
      <c r="C358" s="16" t="s">
        <v>45</v>
      </c>
      <c r="D358" s="59" t="s">
        <v>225</v>
      </c>
      <c r="E358" s="31">
        <v>1</v>
      </c>
      <c r="F358" s="39">
        <f>VLOOKUP(H358,'PROJECT SUMMARY'!$C$26:$D$32,2,0)</f>
        <v>0</v>
      </c>
      <c r="G358" s="31">
        <f t="shared" si="248"/>
        <v>1</v>
      </c>
      <c r="H358" s="16" t="s">
        <v>10</v>
      </c>
      <c r="I358" s="62">
        <v>7.7095050000000001</v>
      </c>
      <c r="J358" s="71">
        <f t="shared" si="249"/>
        <v>7.7095050000000001</v>
      </c>
      <c r="K358" s="23">
        <v>52</v>
      </c>
      <c r="L358" s="23">
        <f t="shared" si="250"/>
        <v>400.89426000000003</v>
      </c>
      <c r="M358" s="23">
        <v>1284.9175</v>
      </c>
      <c r="N358" s="23">
        <f t="shared" si="251"/>
        <v>1284.9175</v>
      </c>
      <c r="O358" s="23">
        <f t="shared" si="252"/>
        <v>1685.81176</v>
      </c>
      <c r="P358" s="46"/>
    </row>
    <row r="359" spans="1:16" x14ac:dyDescent="0.25">
      <c r="A359" s="60">
        <f>IF(G359&lt;&gt;"",1+MAX($A$13:A358),"")</f>
        <v>243</v>
      </c>
      <c r="C359" s="16" t="s">
        <v>45</v>
      </c>
      <c r="D359" s="59" t="s">
        <v>237</v>
      </c>
      <c r="E359" s="31">
        <v>1</v>
      </c>
      <c r="F359" s="39">
        <f>VLOOKUP(H359,'PROJECT SUMMARY'!$C$26:$D$32,2,0)</f>
        <v>0</v>
      </c>
      <c r="G359" s="31">
        <f t="shared" si="248"/>
        <v>1</v>
      </c>
      <c r="H359" s="16" t="s">
        <v>10</v>
      </c>
      <c r="I359" s="62">
        <v>2.128425</v>
      </c>
      <c r="J359" s="71">
        <f t="shared" si="249"/>
        <v>2.128425</v>
      </c>
      <c r="K359" s="23">
        <v>52</v>
      </c>
      <c r="L359" s="23">
        <f t="shared" si="250"/>
        <v>110.6781</v>
      </c>
      <c r="M359" s="23">
        <v>354.73750000000001</v>
      </c>
      <c r="N359" s="23">
        <f t="shared" si="251"/>
        <v>354.73750000000001</v>
      </c>
      <c r="O359" s="23">
        <f t="shared" si="252"/>
        <v>465.41560000000004</v>
      </c>
      <c r="P359" s="46"/>
    </row>
    <row r="360" spans="1:16" x14ac:dyDescent="0.25">
      <c r="A360" s="60">
        <f>IF(G360&lt;&gt;"",1+MAX($A$13:A359),"")</f>
        <v>244</v>
      </c>
      <c r="C360" s="16" t="s">
        <v>45</v>
      </c>
      <c r="D360" s="59" t="s">
        <v>247</v>
      </c>
      <c r="E360" s="31">
        <v>1</v>
      </c>
      <c r="F360" s="39">
        <f>VLOOKUP(H360,'PROJECT SUMMARY'!$C$26:$D$32,2,0)</f>
        <v>0</v>
      </c>
      <c r="G360" s="31">
        <f t="shared" si="248"/>
        <v>1</v>
      </c>
      <c r="H360" s="16" t="s">
        <v>10</v>
      </c>
      <c r="I360" s="62">
        <v>6.6295971000000007</v>
      </c>
      <c r="J360" s="71">
        <f t="shared" si="249"/>
        <v>6.6295971000000007</v>
      </c>
      <c r="K360" s="23">
        <v>52</v>
      </c>
      <c r="L360" s="23">
        <f t="shared" si="250"/>
        <v>344.73904920000001</v>
      </c>
      <c r="M360" s="23">
        <v>1104.9328500000001</v>
      </c>
      <c r="N360" s="23">
        <f t="shared" si="251"/>
        <v>1104.9328500000001</v>
      </c>
      <c r="O360" s="23">
        <f t="shared" si="252"/>
        <v>1449.6718992000001</v>
      </c>
      <c r="P360" s="46"/>
    </row>
    <row r="361" spans="1:16" x14ac:dyDescent="0.25">
      <c r="A361" s="60">
        <f>IF(G361&lt;&gt;"",1+MAX($A$13:A360),"")</f>
        <v>245</v>
      </c>
      <c r="C361" s="16" t="s">
        <v>45</v>
      </c>
      <c r="D361" s="59" t="s">
        <v>242</v>
      </c>
      <c r="E361" s="31">
        <v>1</v>
      </c>
      <c r="F361" s="39">
        <f>VLOOKUP(H361,'PROJECT SUMMARY'!$C$26:$D$32,2,0)</f>
        <v>0</v>
      </c>
      <c r="G361" s="31">
        <f t="shared" si="248"/>
        <v>1</v>
      </c>
      <c r="H361" s="16" t="s">
        <v>10</v>
      </c>
      <c r="I361" s="62">
        <v>4.2692664599999999</v>
      </c>
      <c r="J361" s="71">
        <f t="shared" si="249"/>
        <v>4.2692664599999999</v>
      </c>
      <c r="K361" s="23">
        <v>52</v>
      </c>
      <c r="L361" s="23">
        <f t="shared" si="250"/>
        <v>222.00185592</v>
      </c>
      <c r="M361" s="23">
        <v>711.54440999999997</v>
      </c>
      <c r="N361" s="23">
        <f t="shared" si="251"/>
        <v>711.54440999999997</v>
      </c>
      <c r="O361" s="23">
        <f t="shared" si="252"/>
        <v>933.54626592</v>
      </c>
      <c r="P361" s="46"/>
    </row>
    <row r="362" spans="1:16" ht="16.5" thickBot="1" x14ac:dyDescent="0.3">
      <c r="A362" s="60" t="str">
        <f>IF(G362&lt;&gt;"",1+MAX($A$13:A361),"")</f>
        <v/>
      </c>
      <c r="P362" s="46"/>
    </row>
    <row r="363" spans="1:16" ht="16.5" thickBot="1" x14ac:dyDescent="0.3">
      <c r="A363" s="87" t="str">
        <f>IF(G363&lt;&gt;"",1+MAX($A$13:A362),"")</f>
        <v/>
      </c>
      <c r="B363" s="83"/>
      <c r="C363" s="83" t="s">
        <v>49</v>
      </c>
      <c r="D363" s="81" t="s">
        <v>50</v>
      </c>
      <c r="E363" s="85"/>
      <c r="F363" s="86"/>
      <c r="G363" s="85"/>
      <c r="H363" s="85"/>
      <c r="I363" s="81"/>
      <c r="J363" s="81"/>
      <c r="K363" s="82"/>
      <c r="L363" s="82"/>
      <c r="M363" s="82"/>
      <c r="N363" s="82"/>
      <c r="O363" s="84"/>
      <c r="P363" s="88">
        <f>SUM(O364:O654)</f>
        <v>395802.1458821366</v>
      </c>
    </row>
    <row r="364" spans="1:16" x14ac:dyDescent="0.25">
      <c r="A364" s="60" t="str">
        <f>IF(G364&lt;&gt;"",1+MAX($A$13:A363),"")</f>
        <v/>
      </c>
      <c r="P364" s="46"/>
    </row>
    <row r="365" spans="1:16" ht="18.75" x14ac:dyDescent="0.25">
      <c r="A365" s="60" t="str">
        <f>IF(G365&lt;&gt;"",1+MAX($A$13:A364),"")</f>
        <v/>
      </c>
      <c r="D365" s="78" t="s">
        <v>51</v>
      </c>
      <c r="P365" s="46"/>
    </row>
    <row r="366" spans="1:16" x14ac:dyDescent="0.25">
      <c r="A366" s="60" t="str">
        <f>IF(G366&lt;&gt;"",1+MAX($A$13:A365),"")</f>
        <v/>
      </c>
      <c r="J366" s="80"/>
      <c r="P366" s="46"/>
    </row>
    <row r="367" spans="1:16" x14ac:dyDescent="0.25">
      <c r="A367" s="60" t="str">
        <f>IF(G367&lt;&gt;"",1+MAX($A$13:A366),"")</f>
        <v/>
      </c>
      <c r="D367" s="58" t="s">
        <v>370</v>
      </c>
      <c r="E367" s="79">
        <v>8.1199999999999992</v>
      </c>
      <c r="H367" s="16" t="s">
        <v>11</v>
      </c>
      <c r="J367" s="80"/>
      <c r="P367" s="46"/>
    </row>
    <row r="368" spans="1:16" x14ac:dyDescent="0.25">
      <c r="A368" s="60">
        <f>IF(G368&lt;&gt;"",1+MAX($A$13:A367),"")</f>
        <v>246</v>
      </c>
      <c r="C368" s="16" t="s">
        <v>49</v>
      </c>
      <c r="D368" s="59" t="s">
        <v>124</v>
      </c>
      <c r="E368" s="31">
        <f>E367*7.583/32</f>
        <v>1.9241862499999998</v>
      </c>
      <c r="F368" s="39">
        <f>VLOOKUP(H368,'PROJECT SUMMARY'!$C$26:$D$32,2,0)</f>
        <v>0</v>
      </c>
      <c r="G368" s="31">
        <f t="shared" ref="G368:G372" si="254">E368*(1+F368)</f>
        <v>1.9241862499999998</v>
      </c>
      <c r="H368" s="16" t="s">
        <v>10</v>
      </c>
      <c r="I368" s="62">
        <v>0.35</v>
      </c>
      <c r="J368" s="80">
        <f t="shared" ref="J368" si="255">I368*G368</f>
        <v>0.67346518749999984</v>
      </c>
      <c r="K368" s="23">
        <v>47.5</v>
      </c>
      <c r="L368" s="23">
        <f t="shared" ref="L368" si="256">K368*J368</f>
        <v>31.989596406249991</v>
      </c>
      <c r="M368" s="23">
        <v>9.6</v>
      </c>
      <c r="N368" s="23">
        <f t="shared" ref="N368" si="257">M368*G368</f>
        <v>18.472187999999996</v>
      </c>
      <c r="O368" s="23">
        <f t="shared" ref="O368" si="258">L368+N368</f>
        <v>50.46178440624999</v>
      </c>
      <c r="P368" s="46"/>
    </row>
    <row r="369" spans="1:16" x14ac:dyDescent="0.25">
      <c r="A369" s="60">
        <f>IF(G369&lt;&gt;"",1+MAX($A$13:A368),"")</f>
        <v>247</v>
      </c>
      <c r="C369" s="16" t="s">
        <v>49</v>
      </c>
      <c r="D369" s="59" t="s">
        <v>375</v>
      </c>
      <c r="E369" s="31">
        <f>E367/1.33</f>
        <v>6.1052631578947363</v>
      </c>
      <c r="F369" s="39">
        <f>VLOOKUP(H369,'PROJECT SUMMARY'!$C$26:$D$32,2,0)</f>
        <v>0</v>
      </c>
      <c r="G369" s="31">
        <f t="shared" si="254"/>
        <v>6.1052631578947363</v>
      </c>
      <c r="H369" s="16" t="s">
        <v>10</v>
      </c>
      <c r="I369" s="62">
        <v>3.2000000000000001E-2</v>
      </c>
      <c r="J369" s="80">
        <v>0.19536842105263155</v>
      </c>
      <c r="K369" s="23">
        <v>47.5</v>
      </c>
      <c r="L369" s="23">
        <v>9.2799999999999994</v>
      </c>
      <c r="M369" s="23">
        <v>14.8</v>
      </c>
      <c r="N369" s="23">
        <v>90.357894736842098</v>
      </c>
      <c r="O369" s="23">
        <v>99.6378947368421</v>
      </c>
      <c r="P369" s="46"/>
    </row>
    <row r="370" spans="1:16" x14ac:dyDescent="0.25">
      <c r="A370" s="60">
        <f>IF(G370&lt;&gt;"",1+MAX($A$13:A369),"")</f>
        <v>248</v>
      </c>
      <c r="C370" s="16" t="s">
        <v>49</v>
      </c>
      <c r="D370" s="59" t="s">
        <v>126</v>
      </c>
      <c r="E370" s="31">
        <f>E367*3</f>
        <v>24.36</v>
      </c>
      <c r="F370" s="39">
        <f>VLOOKUP(H370,'PROJECT SUMMARY'!$C$26:$D$32,2,0)</f>
        <v>0.05</v>
      </c>
      <c r="G370" s="31">
        <f t="shared" si="254"/>
        <v>25.577999999999999</v>
      </c>
      <c r="H370" s="16" t="s">
        <v>11</v>
      </c>
      <c r="I370" s="62">
        <v>0.04</v>
      </c>
      <c r="J370" s="80">
        <f t="shared" ref="J370:J372" si="259">I370*G370</f>
        <v>1.02312</v>
      </c>
      <c r="K370" s="23">
        <v>47.5</v>
      </c>
      <c r="L370" s="23">
        <f t="shared" ref="L370:L372" si="260">K370*J370</f>
        <v>48.598199999999999</v>
      </c>
      <c r="M370" s="23">
        <v>1.85</v>
      </c>
      <c r="N370" s="23">
        <f t="shared" ref="N370:N372" si="261">M370*G370</f>
        <v>47.319299999999998</v>
      </c>
      <c r="O370" s="23">
        <f t="shared" ref="O370:O372" si="262">L370+N370</f>
        <v>95.91749999999999</v>
      </c>
      <c r="P370" s="46"/>
    </row>
    <row r="371" spans="1:16" x14ac:dyDescent="0.25">
      <c r="A371" s="60">
        <f>IF(G371&lt;&gt;"",1+MAX($A$13:A370),"")</f>
        <v>249</v>
      </c>
      <c r="C371" s="16" t="s">
        <v>49</v>
      </c>
      <c r="D371" s="59" t="s">
        <v>373</v>
      </c>
      <c r="E371" s="31">
        <f>E367*7.583</f>
        <v>61.573959999999992</v>
      </c>
      <c r="F371" s="39">
        <f>VLOOKUP(H371,'PROJECT SUMMARY'!$C$26:$D$32,2,0)</f>
        <v>0.05</v>
      </c>
      <c r="G371" s="31">
        <f t="shared" si="254"/>
        <v>64.652657999999988</v>
      </c>
      <c r="H371" s="16" t="s">
        <v>12</v>
      </c>
      <c r="I371" s="62">
        <v>1.2999999999999999E-2</v>
      </c>
      <c r="J371" s="80">
        <f t="shared" si="259"/>
        <v>0.84048455399999977</v>
      </c>
      <c r="K371" s="23">
        <v>47.5</v>
      </c>
      <c r="L371" s="23">
        <f t="shared" si="260"/>
        <v>39.923016314999991</v>
      </c>
      <c r="M371" s="23">
        <v>0.94</v>
      </c>
      <c r="N371" s="23">
        <f t="shared" si="261"/>
        <v>60.773498519999983</v>
      </c>
      <c r="O371" s="23">
        <f t="shared" si="262"/>
        <v>100.69651483499997</v>
      </c>
      <c r="P371" s="46"/>
    </row>
    <row r="372" spans="1:16" x14ac:dyDescent="0.25">
      <c r="A372" s="60">
        <f>IF(G372&lt;&gt;"",1+MAX($A$13:A371),"")</f>
        <v>250</v>
      </c>
      <c r="C372" s="16" t="s">
        <v>49</v>
      </c>
      <c r="D372" s="59" t="s">
        <v>68</v>
      </c>
      <c r="E372" s="31">
        <f>E367*2</f>
        <v>16.239999999999998</v>
      </c>
      <c r="F372" s="39">
        <f>VLOOKUP(H372,'PROJECT SUMMARY'!$C$26:$D$32,2,0)</f>
        <v>0.05</v>
      </c>
      <c r="G372" s="31">
        <f t="shared" si="254"/>
        <v>17.052</v>
      </c>
      <c r="H372" s="16" t="s">
        <v>11</v>
      </c>
      <c r="I372" s="62">
        <v>7.0000000000000001E-3</v>
      </c>
      <c r="J372" s="80">
        <f t="shared" si="259"/>
        <v>0.119364</v>
      </c>
      <c r="K372" s="23">
        <v>47.5</v>
      </c>
      <c r="L372" s="23">
        <f t="shared" si="260"/>
        <v>5.6697899999999999</v>
      </c>
      <c r="M372" s="23">
        <v>0.15</v>
      </c>
      <c r="N372" s="23">
        <f t="shared" si="261"/>
        <v>2.5577999999999999</v>
      </c>
      <c r="O372" s="23">
        <f t="shared" si="262"/>
        <v>8.2275899999999993</v>
      </c>
      <c r="P372" s="46"/>
    </row>
    <row r="373" spans="1:16" x14ac:dyDescent="0.25">
      <c r="A373" s="60" t="str">
        <f>IF(G373&lt;&gt;"",1+MAX($A$13:A372),"")</f>
        <v/>
      </c>
      <c r="J373" s="80"/>
      <c r="P373" s="46"/>
    </row>
    <row r="374" spans="1:16" x14ac:dyDescent="0.25">
      <c r="A374" s="60" t="str">
        <f>IF(G374&lt;&gt;"",1+MAX($A$13:A373),"")</f>
        <v/>
      </c>
      <c r="D374" s="58" t="s">
        <v>374</v>
      </c>
      <c r="E374" s="79">
        <v>19.93</v>
      </c>
      <c r="H374" s="16" t="s">
        <v>11</v>
      </c>
      <c r="J374" s="80"/>
      <c r="P374" s="46"/>
    </row>
    <row r="375" spans="1:16" x14ac:dyDescent="0.25">
      <c r="A375" s="60">
        <f>IF(G375&lt;&gt;"",1+MAX($A$13:A374),"")</f>
        <v>251</v>
      </c>
      <c r="C375" s="16" t="s">
        <v>49</v>
      </c>
      <c r="D375" s="59" t="s">
        <v>130</v>
      </c>
      <c r="E375" s="31">
        <f>E374*7.583/32</f>
        <v>4.7227871874999998</v>
      </c>
      <c r="F375" s="39">
        <f>VLOOKUP(H375,'PROJECT SUMMARY'!$C$26:$D$32,2,0)</f>
        <v>0</v>
      </c>
      <c r="G375" s="31">
        <f t="shared" ref="G375:G379" si="263">E375*(1+F375)</f>
        <v>4.7227871874999998</v>
      </c>
      <c r="H375" s="16" t="s">
        <v>10</v>
      </c>
      <c r="I375" s="62">
        <v>0.35</v>
      </c>
      <c r="J375" s="80">
        <f t="shared" ref="J375" si="264">I375*G375</f>
        <v>1.6529755156249999</v>
      </c>
      <c r="K375" s="23">
        <v>47.5</v>
      </c>
      <c r="L375" s="23">
        <f t="shared" ref="L375" si="265">K375*J375</f>
        <v>78.51633699218749</v>
      </c>
      <c r="M375" s="23">
        <v>11</v>
      </c>
      <c r="N375" s="23">
        <f t="shared" ref="N375" si="266">M375*G375</f>
        <v>51.950659062499994</v>
      </c>
      <c r="O375" s="23">
        <f t="shared" ref="O375" si="267">L375+N375</f>
        <v>130.46699605468748</v>
      </c>
      <c r="P375" s="46"/>
    </row>
    <row r="376" spans="1:16" x14ac:dyDescent="0.25">
      <c r="A376" s="60">
        <f>IF(G376&lt;&gt;"",1+MAX($A$13:A375),"")</f>
        <v>252</v>
      </c>
      <c r="C376" s="16" t="s">
        <v>49</v>
      </c>
      <c r="D376" s="59" t="s">
        <v>375</v>
      </c>
      <c r="E376" s="31">
        <f>E374/1.33</f>
        <v>14.984962406015036</v>
      </c>
      <c r="F376" s="39">
        <f>VLOOKUP(H376,'PROJECT SUMMARY'!$C$26:$D$32,2,0)</f>
        <v>0</v>
      </c>
      <c r="G376" s="31">
        <f t="shared" si="263"/>
        <v>14.984962406015036</v>
      </c>
      <c r="H376" s="16" t="s">
        <v>10</v>
      </c>
      <c r="I376" s="62">
        <v>3.2000000000000001E-2</v>
      </c>
      <c r="J376" s="80">
        <v>0.19536842105263155</v>
      </c>
      <c r="K376" s="23">
        <v>47.5</v>
      </c>
      <c r="L376" s="23">
        <v>9.2799999999999994</v>
      </c>
      <c r="M376" s="23">
        <v>14.8</v>
      </c>
      <c r="N376" s="23">
        <v>90.357894736842098</v>
      </c>
      <c r="O376" s="23">
        <v>99.6378947368421</v>
      </c>
      <c r="P376" s="46"/>
    </row>
    <row r="377" spans="1:16" x14ac:dyDescent="0.25">
      <c r="A377" s="60">
        <f>IF(G377&lt;&gt;"",1+MAX($A$13:A376),"")</f>
        <v>253</v>
      </c>
      <c r="C377" s="16" t="s">
        <v>49</v>
      </c>
      <c r="D377" s="59" t="s">
        <v>126</v>
      </c>
      <c r="E377" s="31">
        <f>E374*3</f>
        <v>59.79</v>
      </c>
      <c r="F377" s="39">
        <f>VLOOKUP(H377,'PROJECT SUMMARY'!$C$26:$D$32,2,0)</f>
        <v>0.05</v>
      </c>
      <c r="G377" s="31">
        <f t="shared" si="263"/>
        <v>62.779499999999999</v>
      </c>
      <c r="H377" s="16" t="s">
        <v>11</v>
      </c>
      <c r="I377" s="62">
        <v>0.04</v>
      </c>
      <c r="J377" s="80">
        <f t="shared" ref="J377:J379" si="268">I377*G377</f>
        <v>2.51118</v>
      </c>
      <c r="K377" s="23">
        <v>47.5</v>
      </c>
      <c r="L377" s="23">
        <f t="shared" ref="L377:L379" si="269">K377*J377</f>
        <v>119.28104999999999</v>
      </c>
      <c r="M377" s="23">
        <v>1.85</v>
      </c>
      <c r="N377" s="23">
        <f t="shared" ref="N377:N379" si="270">M377*G377</f>
        <v>116.14207500000001</v>
      </c>
      <c r="O377" s="23">
        <f t="shared" ref="O377:O379" si="271">L377+N377</f>
        <v>235.423125</v>
      </c>
      <c r="P377" s="46"/>
    </row>
    <row r="378" spans="1:16" x14ac:dyDescent="0.25">
      <c r="A378" s="60">
        <f>IF(G378&lt;&gt;"",1+MAX($A$13:A377),"")</f>
        <v>254</v>
      </c>
      <c r="C378" s="16" t="s">
        <v>49</v>
      </c>
      <c r="D378" s="59" t="s">
        <v>373</v>
      </c>
      <c r="E378" s="31">
        <f>E374*7.583</f>
        <v>151.12918999999999</v>
      </c>
      <c r="F378" s="39">
        <f>VLOOKUP(H378,'PROJECT SUMMARY'!$C$26:$D$32,2,0)</f>
        <v>0.05</v>
      </c>
      <c r="G378" s="31">
        <f t="shared" si="263"/>
        <v>158.68564950000001</v>
      </c>
      <c r="H378" s="16" t="s">
        <v>12</v>
      </c>
      <c r="I378" s="62">
        <v>1.2999999999999999E-2</v>
      </c>
      <c r="J378" s="80">
        <f t="shared" si="268"/>
        <v>2.0629134434999998</v>
      </c>
      <c r="K378" s="23">
        <v>47.5</v>
      </c>
      <c r="L378" s="23">
        <f t="shared" si="269"/>
        <v>97.988388566249995</v>
      </c>
      <c r="M378" s="23">
        <v>0.94</v>
      </c>
      <c r="N378" s="23">
        <f t="shared" si="270"/>
        <v>149.16451053</v>
      </c>
      <c r="O378" s="23">
        <f t="shared" si="271"/>
        <v>247.15289909625</v>
      </c>
      <c r="P378" s="46"/>
    </row>
    <row r="379" spans="1:16" x14ac:dyDescent="0.25">
      <c r="A379" s="60">
        <f>IF(G379&lt;&gt;"",1+MAX($A$13:A378),"")</f>
        <v>255</v>
      </c>
      <c r="C379" s="16" t="s">
        <v>49</v>
      </c>
      <c r="D379" s="59" t="s">
        <v>68</v>
      </c>
      <c r="E379" s="31">
        <f>E374*2</f>
        <v>39.86</v>
      </c>
      <c r="F379" s="39">
        <f>VLOOKUP(H379,'PROJECT SUMMARY'!$C$26:$D$32,2,0)</f>
        <v>0.05</v>
      </c>
      <c r="G379" s="31">
        <f t="shared" si="263"/>
        <v>41.853000000000002</v>
      </c>
      <c r="H379" s="16" t="s">
        <v>11</v>
      </c>
      <c r="I379" s="62">
        <v>7.0000000000000001E-3</v>
      </c>
      <c r="J379" s="80">
        <f t="shared" si="268"/>
        <v>0.29297100000000004</v>
      </c>
      <c r="K379" s="23">
        <v>47.5</v>
      </c>
      <c r="L379" s="23">
        <f t="shared" si="269"/>
        <v>13.916122500000002</v>
      </c>
      <c r="M379" s="23">
        <v>0.15</v>
      </c>
      <c r="N379" s="23">
        <f t="shared" si="270"/>
        <v>6.2779499999999997</v>
      </c>
      <c r="O379" s="23">
        <f t="shared" si="271"/>
        <v>20.194072500000001</v>
      </c>
      <c r="P379" s="46"/>
    </row>
    <row r="380" spans="1:16" x14ac:dyDescent="0.25">
      <c r="A380" s="60" t="str">
        <f>IF(G380&lt;&gt;"",1+MAX($A$13:A379),"")</f>
        <v/>
      </c>
      <c r="J380" s="80"/>
      <c r="P380" s="46"/>
    </row>
    <row r="381" spans="1:16" x14ac:dyDescent="0.25">
      <c r="A381" s="60" t="str">
        <f>IF(G381&lt;&gt;"",1+MAX($A$13:A380),"")</f>
        <v/>
      </c>
      <c r="D381" s="58" t="s">
        <v>376</v>
      </c>
      <c r="E381" s="79">
        <v>23.83</v>
      </c>
      <c r="H381" s="16" t="s">
        <v>11</v>
      </c>
      <c r="J381" s="80"/>
      <c r="P381" s="46"/>
    </row>
    <row r="382" spans="1:16" x14ac:dyDescent="0.25">
      <c r="A382" s="60">
        <f>IF(G382&lt;&gt;"",1+MAX($A$13:A381),"")</f>
        <v>256</v>
      </c>
      <c r="C382" s="16" t="s">
        <v>49</v>
      </c>
      <c r="D382" s="59" t="s">
        <v>124</v>
      </c>
      <c r="E382" s="31">
        <f>E381*8/32</f>
        <v>5.9574999999999996</v>
      </c>
      <c r="F382" s="39">
        <f>VLOOKUP(H382,'PROJECT SUMMARY'!$C$26:$D$32,2,0)</f>
        <v>0</v>
      </c>
      <c r="G382" s="31">
        <f t="shared" ref="G382:G386" si="272">E382*(1+F382)</f>
        <v>5.9574999999999996</v>
      </c>
      <c r="H382" s="16" t="s">
        <v>10</v>
      </c>
      <c r="I382" s="62">
        <v>0.35</v>
      </c>
      <c r="J382" s="80">
        <f t="shared" ref="J382" si="273">I382*G382</f>
        <v>2.0851249999999997</v>
      </c>
      <c r="K382" s="23">
        <v>47.5</v>
      </c>
      <c r="L382" s="23">
        <f t="shared" ref="L382" si="274">K382*J382</f>
        <v>99.043437499999982</v>
      </c>
      <c r="M382" s="23">
        <v>9.6</v>
      </c>
      <c r="N382" s="23">
        <f t="shared" ref="N382" si="275">M382*G382</f>
        <v>57.191999999999993</v>
      </c>
      <c r="O382" s="23">
        <f t="shared" ref="O382" si="276">L382+N382</f>
        <v>156.23543749999999</v>
      </c>
      <c r="P382" s="46"/>
    </row>
    <row r="383" spans="1:16" x14ac:dyDescent="0.25">
      <c r="A383" s="60">
        <f>IF(G383&lt;&gt;"",1+MAX($A$13:A382),"")</f>
        <v>257</v>
      </c>
      <c r="C383" s="16" t="s">
        <v>49</v>
      </c>
      <c r="D383" s="59" t="s">
        <v>375</v>
      </c>
      <c r="E383" s="31">
        <f>E381/1.33</f>
        <v>17.917293233082706</v>
      </c>
      <c r="F383" s="39">
        <f>VLOOKUP(H383,'PROJECT SUMMARY'!$C$26:$D$32,2,0)</f>
        <v>0</v>
      </c>
      <c r="G383" s="31">
        <f t="shared" si="272"/>
        <v>17.917293233082706</v>
      </c>
      <c r="H383" s="16" t="s">
        <v>10</v>
      </c>
      <c r="I383" s="62">
        <v>3.2000000000000001E-2</v>
      </c>
      <c r="J383" s="80">
        <v>0.19536842105263155</v>
      </c>
      <c r="K383" s="23">
        <v>47.5</v>
      </c>
      <c r="L383" s="23">
        <v>9.2799999999999994</v>
      </c>
      <c r="M383" s="23">
        <v>14.8</v>
      </c>
      <c r="N383" s="23">
        <v>90.357894736842098</v>
      </c>
      <c r="O383" s="23">
        <v>99.6378947368421</v>
      </c>
      <c r="P383" s="46"/>
    </row>
    <row r="384" spans="1:16" x14ac:dyDescent="0.25">
      <c r="A384" s="60">
        <f>IF(G384&lt;&gt;"",1+MAX($A$13:A383),"")</f>
        <v>258</v>
      </c>
      <c r="C384" s="16" t="s">
        <v>49</v>
      </c>
      <c r="D384" s="59" t="s">
        <v>126</v>
      </c>
      <c r="E384" s="31">
        <f>E381*3</f>
        <v>71.489999999999995</v>
      </c>
      <c r="F384" s="39">
        <f>VLOOKUP(H384,'PROJECT SUMMARY'!$C$26:$D$32,2,0)</f>
        <v>0.05</v>
      </c>
      <c r="G384" s="31">
        <f t="shared" si="272"/>
        <v>75.064499999999995</v>
      </c>
      <c r="H384" s="16" t="s">
        <v>11</v>
      </c>
      <c r="I384" s="62">
        <v>0.04</v>
      </c>
      <c r="J384" s="80">
        <f t="shared" ref="J384:J386" si="277">I384*G384</f>
        <v>3.00258</v>
      </c>
      <c r="K384" s="23">
        <v>47.5</v>
      </c>
      <c r="L384" s="23">
        <f t="shared" ref="L384:L386" si="278">K384*J384</f>
        <v>142.62254999999999</v>
      </c>
      <c r="M384" s="23">
        <v>1.85</v>
      </c>
      <c r="N384" s="23">
        <f t="shared" ref="N384:N386" si="279">M384*G384</f>
        <v>138.869325</v>
      </c>
      <c r="O384" s="23">
        <f t="shared" ref="O384:O386" si="280">L384+N384</f>
        <v>281.49187499999999</v>
      </c>
      <c r="P384" s="46"/>
    </row>
    <row r="385" spans="1:16" x14ac:dyDescent="0.25">
      <c r="A385" s="60">
        <f>IF(G385&lt;&gt;"",1+MAX($A$13:A384),"")</f>
        <v>259</v>
      </c>
      <c r="C385" s="16" t="s">
        <v>49</v>
      </c>
      <c r="D385" s="59" t="s">
        <v>373</v>
      </c>
      <c r="E385" s="31">
        <f>E381*8</f>
        <v>190.64</v>
      </c>
      <c r="F385" s="39">
        <f>VLOOKUP(H385,'PROJECT SUMMARY'!$C$26:$D$32,2,0)</f>
        <v>0.05</v>
      </c>
      <c r="G385" s="31">
        <f t="shared" si="272"/>
        <v>200.172</v>
      </c>
      <c r="H385" s="16" t="s">
        <v>12</v>
      </c>
      <c r="I385" s="62">
        <v>1.2999999999999999E-2</v>
      </c>
      <c r="J385" s="80">
        <f t="shared" si="277"/>
        <v>2.602236</v>
      </c>
      <c r="K385" s="23">
        <v>47.5</v>
      </c>
      <c r="L385" s="23">
        <f t="shared" si="278"/>
        <v>123.60621</v>
      </c>
      <c r="M385" s="23">
        <v>0.94</v>
      </c>
      <c r="N385" s="23">
        <f t="shared" si="279"/>
        <v>188.16167999999999</v>
      </c>
      <c r="O385" s="23">
        <f t="shared" si="280"/>
        <v>311.76788999999997</v>
      </c>
      <c r="P385" s="46"/>
    </row>
    <row r="386" spans="1:16" x14ac:dyDescent="0.25">
      <c r="A386" s="60">
        <f>IF(G386&lt;&gt;"",1+MAX($A$13:A385),"")</f>
        <v>260</v>
      </c>
      <c r="C386" s="16" t="s">
        <v>49</v>
      </c>
      <c r="D386" s="59" t="s">
        <v>68</v>
      </c>
      <c r="E386" s="31">
        <f>E381*2</f>
        <v>47.66</v>
      </c>
      <c r="F386" s="39">
        <f>VLOOKUP(H386,'PROJECT SUMMARY'!$C$26:$D$32,2,0)</f>
        <v>0.05</v>
      </c>
      <c r="G386" s="31">
        <f t="shared" si="272"/>
        <v>50.042999999999999</v>
      </c>
      <c r="H386" s="16" t="s">
        <v>11</v>
      </c>
      <c r="I386" s="62">
        <v>7.0000000000000001E-3</v>
      </c>
      <c r="J386" s="80">
        <f t="shared" si="277"/>
        <v>0.35030100000000003</v>
      </c>
      <c r="K386" s="23">
        <v>47.5</v>
      </c>
      <c r="L386" s="23">
        <f t="shared" si="278"/>
        <v>16.639297500000001</v>
      </c>
      <c r="M386" s="23">
        <v>0.15</v>
      </c>
      <c r="N386" s="23">
        <f t="shared" si="279"/>
        <v>7.5064499999999992</v>
      </c>
      <c r="O386" s="23">
        <f t="shared" si="280"/>
        <v>24.145747499999999</v>
      </c>
      <c r="P386" s="46"/>
    </row>
    <row r="387" spans="1:16" x14ac:dyDescent="0.25">
      <c r="A387" s="60" t="str">
        <f>IF(G387&lt;&gt;"",1+MAX($A$13:A386),"")</f>
        <v/>
      </c>
      <c r="J387" s="80"/>
      <c r="P387" s="46"/>
    </row>
    <row r="388" spans="1:16" x14ac:dyDescent="0.25">
      <c r="A388" s="60" t="str">
        <f>IF(G388&lt;&gt;"",1+MAX($A$13:A387),"")</f>
        <v/>
      </c>
      <c r="D388" s="58" t="s">
        <v>377</v>
      </c>
      <c r="E388" s="79">
        <v>52.15</v>
      </c>
      <c r="H388" s="16" t="s">
        <v>11</v>
      </c>
      <c r="J388" s="80"/>
      <c r="P388" s="46"/>
    </row>
    <row r="389" spans="1:16" x14ac:dyDescent="0.25">
      <c r="A389" s="60">
        <f>IF(G389&lt;&gt;"",1+MAX($A$13:A388),"")</f>
        <v>261</v>
      </c>
      <c r="C389" s="16" t="s">
        <v>49</v>
      </c>
      <c r="D389" s="59" t="s">
        <v>124</v>
      </c>
      <c r="E389" s="31">
        <f>E388*8.9167/32</f>
        <v>14.531434531250001</v>
      </c>
      <c r="F389" s="39">
        <f>VLOOKUP(H389,'PROJECT SUMMARY'!$C$26:$D$32,2,0)</f>
        <v>0</v>
      </c>
      <c r="G389" s="31">
        <f t="shared" ref="G389:G393" si="281">E389*(1+F389)</f>
        <v>14.531434531250001</v>
      </c>
      <c r="H389" s="16" t="s">
        <v>10</v>
      </c>
      <c r="I389" s="62">
        <v>0.35</v>
      </c>
      <c r="J389" s="80">
        <f t="shared" ref="J389" si="282">I389*G389</f>
        <v>5.0860020859375004</v>
      </c>
      <c r="K389" s="23">
        <v>47.5</v>
      </c>
      <c r="L389" s="23">
        <f t="shared" ref="L389" si="283">K389*J389</f>
        <v>241.58509908203126</v>
      </c>
      <c r="M389" s="23">
        <v>9.6</v>
      </c>
      <c r="N389" s="23">
        <f t="shared" ref="N389" si="284">M389*G389</f>
        <v>139.50177150000002</v>
      </c>
      <c r="O389" s="23">
        <f t="shared" ref="O389" si="285">L389+N389</f>
        <v>381.08687058203128</v>
      </c>
      <c r="P389" s="46"/>
    </row>
    <row r="390" spans="1:16" x14ac:dyDescent="0.25">
      <c r="A390" s="60">
        <f>IF(G390&lt;&gt;"",1+MAX($A$13:A389),"")</f>
        <v>262</v>
      </c>
      <c r="C390" s="16" t="s">
        <v>49</v>
      </c>
      <c r="D390" s="59" t="s">
        <v>125</v>
      </c>
      <c r="E390" s="31">
        <f>E388/1.33</f>
        <v>39.210526315789473</v>
      </c>
      <c r="F390" s="39">
        <f>VLOOKUP(H390,'PROJECT SUMMARY'!$C$26:$D$32,2,0)</f>
        <v>0</v>
      </c>
      <c r="G390" s="31">
        <f t="shared" si="281"/>
        <v>39.210526315789473</v>
      </c>
      <c r="H390" s="16" t="s">
        <v>10</v>
      </c>
      <c r="I390" s="62">
        <v>3.2000000000000001E-2</v>
      </c>
      <c r="J390" s="80">
        <v>1.2547368421052632</v>
      </c>
      <c r="K390" s="23">
        <v>47.5</v>
      </c>
      <c r="L390" s="23">
        <v>59.6</v>
      </c>
      <c r="M390" s="23">
        <v>18.5</v>
      </c>
      <c r="N390" s="23">
        <v>725.3947368421052</v>
      </c>
      <c r="O390" s="23">
        <v>784.99473684210523</v>
      </c>
      <c r="P390" s="46"/>
    </row>
    <row r="391" spans="1:16" x14ac:dyDescent="0.25">
      <c r="A391" s="60">
        <f>IF(G391&lt;&gt;"",1+MAX($A$13:A390),"")</f>
        <v>263</v>
      </c>
      <c r="C391" s="16" t="s">
        <v>49</v>
      </c>
      <c r="D391" s="59" t="s">
        <v>126</v>
      </c>
      <c r="E391" s="31">
        <f>E388*3</f>
        <v>156.44999999999999</v>
      </c>
      <c r="F391" s="39">
        <f>VLOOKUP(H391,'PROJECT SUMMARY'!$C$26:$D$32,2,0)</f>
        <v>0.05</v>
      </c>
      <c r="G391" s="31">
        <f t="shared" si="281"/>
        <v>164.27250000000001</v>
      </c>
      <c r="H391" s="16" t="s">
        <v>11</v>
      </c>
      <c r="I391" s="62">
        <v>0.04</v>
      </c>
      <c r="J391" s="80">
        <f t="shared" ref="J391:J393" si="286">I391*G391</f>
        <v>6.5709000000000009</v>
      </c>
      <c r="K391" s="23">
        <v>47.5</v>
      </c>
      <c r="L391" s="23">
        <f t="shared" ref="L391:L393" si="287">K391*J391</f>
        <v>312.11775000000006</v>
      </c>
      <c r="M391" s="23">
        <v>1.85</v>
      </c>
      <c r="N391" s="23">
        <f t="shared" ref="N391:N393" si="288">M391*G391</f>
        <v>303.90412500000002</v>
      </c>
      <c r="O391" s="23">
        <f t="shared" ref="O391:O393" si="289">L391+N391</f>
        <v>616.02187500000014</v>
      </c>
      <c r="P391" s="46"/>
    </row>
    <row r="392" spans="1:16" x14ac:dyDescent="0.25">
      <c r="A392" s="60">
        <f>IF(G392&lt;&gt;"",1+MAX($A$13:A391),"")</f>
        <v>264</v>
      </c>
      <c r="C392" s="16" t="s">
        <v>49</v>
      </c>
      <c r="D392" s="59" t="s">
        <v>373</v>
      </c>
      <c r="E392" s="31">
        <f>E388*8.9167</f>
        <v>465.00590500000004</v>
      </c>
      <c r="F392" s="39">
        <f>VLOOKUP(H392,'PROJECT SUMMARY'!$C$26:$D$32,2,0)</f>
        <v>0.05</v>
      </c>
      <c r="G392" s="31">
        <f t="shared" si="281"/>
        <v>488.25620025000006</v>
      </c>
      <c r="H392" s="16" t="s">
        <v>12</v>
      </c>
      <c r="I392" s="62">
        <v>1.2999999999999999E-2</v>
      </c>
      <c r="J392" s="80">
        <f t="shared" si="286"/>
        <v>6.3473306032500005</v>
      </c>
      <c r="K392" s="23">
        <v>47.5</v>
      </c>
      <c r="L392" s="23">
        <f t="shared" si="287"/>
        <v>301.498203654375</v>
      </c>
      <c r="M392" s="23">
        <v>0.94</v>
      </c>
      <c r="N392" s="23">
        <f t="shared" si="288"/>
        <v>458.96082823500001</v>
      </c>
      <c r="O392" s="23">
        <f t="shared" si="289"/>
        <v>760.45903188937496</v>
      </c>
      <c r="P392" s="46"/>
    </row>
    <row r="393" spans="1:16" x14ac:dyDescent="0.25">
      <c r="A393" s="60">
        <f>IF(G393&lt;&gt;"",1+MAX($A$13:A392),"")</f>
        <v>265</v>
      </c>
      <c r="C393" s="16" t="s">
        <v>49</v>
      </c>
      <c r="D393" s="59" t="s">
        <v>68</v>
      </c>
      <c r="E393" s="31">
        <f>E388*2</f>
        <v>104.3</v>
      </c>
      <c r="F393" s="39">
        <f>VLOOKUP(H393,'PROJECT SUMMARY'!$C$26:$D$32,2,0)</f>
        <v>0.05</v>
      </c>
      <c r="G393" s="31">
        <f t="shared" si="281"/>
        <v>109.515</v>
      </c>
      <c r="H393" s="16" t="s">
        <v>11</v>
      </c>
      <c r="I393" s="62">
        <v>7.0000000000000001E-3</v>
      </c>
      <c r="J393" s="80">
        <f t="shared" si="286"/>
        <v>0.76660499999999998</v>
      </c>
      <c r="K393" s="23">
        <v>47.5</v>
      </c>
      <c r="L393" s="23">
        <f t="shared" si="287"/>
        <v>36.413737499999996</v>
      </c>
      <c r="M393" s="23">
        <v>0.15</v>
      </c>
      <c r="N393" s="23">
        <f t="shared" si="288"/>
        <v>16.427250000000001</v>
      </c>
      <c r="O393" s="23">
        <f t="shared" si="289"/>
        <v>52.840987499999997</v>
      </c>
      <c r="P393" s="46"/>
    </row>
    <row r="394" spans="1:16" x14ac:dyDescent="0.25">
      <c r="A394" s="60" t="str">
        <f>IF(G394&lt;&gt;"",1+MAX($A$13:A393),"")</f>
        <v/>
      </c>
      <c r="J394" s="80"/>
      <c r="P394" s="46"/>
    </row>
    <row r="395" spans="1:16" x14ac:dyDescent="0.25">
      <c r="A395" s="60" t="str">
        <f>IF(G395&lt;&gt;"",1+MAX($A$13:A394),"")</f>
        <v/>
      </c>
      <c r="D395" s="58" t="s">
        <v>378</v>
      </c>
      <c r="E395" s="79">
        <v>49.75</v>
      </c>
      <c r="H395" s="16" t="s">
        <v>11</v>
      </c>
      <c r="J395" s="80"/>
      <c r="P395" s="46"/>
    </row>
    <row r="396" spans="1:16" x14ac:dyDescent="0.25">
      <c r="A396" s="60">
        <f>IF(G396&lt;&gt;"",1+MAX($A$13:A395),"")</f>
        <v>266</v>
      </c>
      <c r="C396" s="16" t="s">
        <v>49</v>
      </c>
      <c r="D396" s="59" t="s">
        <v>130</v>
      </c>
      <c r="E396" s="31">
        <f>E395*8.9167/32</f>
        <v>13.862682031250001</v>
      </c>
      <c r="F396" s="39">
        <f>VLOOKUP(H396,'PROJECT SUMMARY'!$C$26:$D$32,2,0)</f>
        <v>0</v>
      </c>
      <c r="G396" s="31">
        <f t="shared" ref="G396:G400" si="290">E396*(1+F396)</f>
        <v>13.862682031250001</v>
      </c>
      <c r="H396" s="16" t="s">
        <v>10</v>
      </c>
      <c r="I396" s="62">
        <v>0.35</v>
      </c>
      <c r="J396" s="80">
        <f t="shared" ref="J396" si="291">I396*G396</f>
        <v>4.8519387109375005</v>
      </c>
      <c r="K396" s="23">
        <v>47.5</v>
      </c>
      <c r="L396" s="23">
        <f t="shared" ref="L396" si="292">K396*J396</f>
        <v>230.46708876953127</v>
      </c>
      <c r="M396" s="23">
        <v>11</v>
      </c>
      <c r="N396" s="23">
        <f t="shared" ref="N396" si="293">M396*G396</f>
        <v>152.48950234375002</v>
      </c>
      <c r="O396" s="23">
        <f t="shared" ref="O396" si="294">L396+N396</f>
        <v>382.95659111328132</v>
      </c>
      <c r="P396" s="46"/>
    </row>
    <row r="397" spans="1:16" x14ac:dyDescent="0.25">
      <c r="A397" s="60">
        <f>IF(G397&lt;&gt;"",1+MAX($A$13:A396),"")</f>
        <v>267</v>
      </c>
      <c r="C397" s="16" t="s">
        <v>49</v>
      </c>
      <c r="D397" s="59" t="s">
        <v>125</v>
      </c>
      <c r="E397" s="31">
        <f>E395/1.33</f>
        <v>37.406015037593981</v>
      </c>
      <c r="F397" s="39">
        <f>VLOOKUP(H397,'PROJECT SUMMARY'!$C$26:$D$32,2,0)</f>
        <v>0</v>
      </c>
      <c r="G397" s="31">
        <f t="shared" si="290"/>
        <v>37.406015037593981</v>
      </c>
      <c r="H397" s="16" t="s">
        <v>10</v>
      </c>
      <c r="I397" s="62">
        <v>3.2000000000000001E-2</v>
      </c>
      <c r="J397" s="80">
        <v>1.2547368421052632</v>
      </c>
      <c r="K397" s="23">
        <v>47.5</v>
      </c>
      <c r="L397" s="23">
        <v>59.6</v>
      </c>
      <c r="M397" s="23">
        <v>18.5</v>
      </c>
      <c r="N397" s="23">
        <v>725.3947368421052</v>
      </c>
      <c r="O397" s="23">
        <v>784.99473684210523</v>
      </c>
      <c r="P397" s="46"/>
    </row>
    <row r="398" spans="1:16" x14ac:dyDescent="0.25">
      <c r="A398" s="60">
        <f>IF(G398&lt;&gt;"",1+MAX($A$13:A397),"")</f>
        <v>268</v>
      </c>
      <c r="C398" s="16" t="s">
        <v>49</v>
      </c>
      <c r="D398" s="59" t="s">
        <v>126</v>
      </c>
      <c r="E398" s="31">
        <f>E395*3</f>
        <v>149.25</v>
      </c>
      <c r="F398" s="39">
        <f>VLOOKUP(H398,'PROJECT SUMMARY'!$C$26:$D$32,2,0)</f>
        <v>0.05</v>
      </c>
      <c r="G398" s="31">
        <f t="shared" si="290"/>
        <v>156.71250000000001</v>
      </c>
      <c r="H398" s="16" t="s">
        <v>11</v>
      </c>
      <c r="I398" s="62">
        <v>0.04</v>
      </c>
      <c r="J398" s="80">
        <f t="shared" ref="J398:J400" si="295">I398*G398</f>
        <v>6.2685000000000004</v>
      </c>
      <c r="K398" s="23">
        <v>47.5</v>
      </c>
      <c r="L398" s="23">
        <f t="shared" ref="L398:L400" si="296">K398*J398</f>
        <v>297.75375000000003</v>
      </c>
      <c r="M398" s="23">
        <v>1.85</v>
      </c>
      <c r="N398" s="23">
        <f t="shared" ref="N398:N400" si="297">M398*G398</f>
        <v>289.91812500000003</v>
      </c>
      <c r="O398" s="23">
        <f t="shared" ref="O398:O400" si="298">L398+N398</f>
        <v>587.671875</v>
      </c>
      <c r="P398" s="46"/>
    </row>
    <row r="399" spans="1:16" x14ac:dyDescent="0.25">
      <c r="A399" s="60">
        <f>IF(G399&lt;&gt;"",1+MAX($A$13:A398),"")</f>
        <v>269</v>
      </c>
      <c r="C399" s="16" t="s">
        <v>49</v>
      </c>
      <c r="D399" s="59" t="s">
        <v>373</v>
      </c>
      <c r="E399" s="31">
        <f>E395*8.9167</f>
        <v>443.60582500000004</v>
      </c>
      <c r="F399" s="39">
        <f>VLOOKUP(H399,'PROJECT SUMMARY'!$C$26:$D$32,2,0)</f>
        <v>0.05</v>
      </c>
      <c r="G399" s="31">
        <f t="shared" si="290"/>
        <v>465.78611625000008</v>
      </c>
      <c r="H399" s="16" t="s">
        <v>12</v>
      </c>
      <c r="I399" s="62">
        <v>1.2999999999999999E-2</v>
      </c>
      <c r="J399" s="80">
        <f t="shared" si="295"/>
        <v>6.0552195112500007</v>
      </c>
      <c r="K399" s="23">
        <v>47.5</v>
      </c>
      <c r="L399" s="23">
        <f t="shared" si="296"/>
        <v>287.62292678437501</v>
      </c>
      <c r="M399" s="23">
        <v>0.94</v>
      </c>
      <c r="N399" s="23">
        <f t="shared" si="297"/>
        <v>437.83894927500006</v>
      </c>
      <c r="O399" s="23">
        <f t="shared" si="298"/>
        <v>725.46187605937507</v>
      </c>
      <c r="P399" s="46"/>
    </row>
    <row r="400" spans="1:16" x14ac:dyDescent="0.25">
      <c r="A400" s="60">
        <f>IF(G400&lt;&gt;"",1+MAX($A$13:A399),"")</f>
        <v>270</v>
      </c>
      <c r="C400" s="16" t="s">
        <v>49</v>
      </c>
      <c r="D400" s="59" t="s">
        <v>68</v>
      </c>
      <c r="E400" s="31">
        <f>E395*2</f>
        <v>99.5</v>
      </c>
      <c r="F400" s="39">
        <f>VLOOKUP(H400,'PROJECT SUMMARY'!$C$26:$D$32,2,0)</f>
        <v>0.05</v>
      </c>
      <c r="G400" s="31">
        <f t="shared" si="290"/>
        <v>104.47500000000001</v>
      </c>
      <c r="H400" s="16" t="s">
        <v>11</v>
      </c>
      <c r="I400" s="62">
        <v>7.0000000000000001E-3</v>
      </c>
      <c r="J400" s="80">
        <f t="shared" si="295"/>
        <v>0.73132500000000011</v>
      </c>
      <c r="K400" s="23">
        <v>47.5</v>
      </c>
      <c r="L400" s="23">
        <f t="shared" si="296"/>
        <v>34.737937500000008</v>
      </c>
      <c r="M400" s="23">
        <v>0.15</v>
      </c>
      <c r="N400" s="23">
        <f t="shared" si="297"/>
        <v>15.671250000000001</v>
      </c>
      <c r="O400" s="23">
        <f t="shared" si="298"/>
        <v>50.409187500000009</v>
      </c>
      <c r="P400" s="46"/>
    </row>
    <row r="401" spans="1:16" x14ac:dyDescent="0.25">
      <c r="A401" s="60" t="str">
        <f>IF(G401&lt;&gt;"",1+MAX($A$13:A400),"")</f>
        <v/>
      </c>
      <c r="J401" s="80"/>
      <c r="P401" s="46"/>
    </row>
    <row r="402" spans="1:16" x14ac:dyDescent="0.25">
      <c r="A402" s="60" t="str">
        <f>IF(G402&lt;&gt;"",1+MAX($A$13:A401),"")</f>
        <v/>
      </c>
      <c r="D402" s="58" t="s">
        <v>379</v>
      </c>
      <c r="E402" s="79">
        <v>74.27</v>
      </c>
      <c r="H402" s="16" t="s">
        <v>11</v>
      </c>
      <c r="J402" s="80"/>
      <c r="P402" s="46"/>
    </row>
    <row r="403" spans="1:16" x14ac:dyDescent="0.25">
      <c r="A403" s="60">
        <f>IF(G403&lt;&gt;"",1+MAX($A$13:A402),"")</f>
        <v>271</v>
      </c>
      <c r="C403" s="16" t="s">
        <v>49</v>
      </c>
      <c r="D403" s="59" t="s">
        <v>124</v>
      </c>
      <c r="E403" s="31">
        <f>E402*8.67/32</f>
        <v>20.122528124999999</v>
      </c>
      <c r="F403" s="39">
        <f>VLOOKUP(H403,'PROJECT SUMMARY'!$C$26:$D$32,2,0)</f>
        <v>0</v>
      </c>
      <c r="G403" s="31">
        <f t="shared" ref="G403:G407" si="299">E403*(1+F403)</f>
        <v>20.122528124999999</v>
      </c>
      <c r="H403" s="16" t="s">
        <v>10</v>
      </c>
      <c r="I403" s="62">
        <v>0.35</v>
      </c>
      <c r="J403" s="80">
        <f t="shared" ref="J403" si="300">I403*G403</f>
        <v>7.0428848437499987</v>
      </c>
      <c r="K403" s="23">
        <v>47.5</v>
      </c>
      <c r="L403" s="23">
        <f t="shared" ref="L403" si="301">K403*J403</f>
        <v>334.53703007812493</v>
      </c>
      <c r="M403" s="23">
        <v>9.6</v>
      </c>
      <c r="N403" s="23">
        <f t="shared" ref="N403" si="302">M403*G403</f>
        <v>193.17626999999999</v>
      </c>
      <c r="O403" s="23">
        <f t="shared" ref="O403" si="303">L403+N403</f>
        <v>527.71330007812492</v>
      </c>
      <c r="P403" s="46"/>
    </row>
    <row r="404" spans="1:16" x14ac:dyDescent="0.25">
      <c r="A404" s="60">
        <f>IF(G404&lt;&gt;"",1+MAX($A$13:A403),"")</f>
        <v>272</v>
      </c>
      <c r="C404" s="16" t="s">
        <v>49</v>
      </c>
      <c r="D404" s="59" t="s">
        <v>125</v>
      </c>
      <c r="E404" s="31">
        <f>E402/1.33</f>
        <v>55.84210526315789</v>
      </c>
      <c r="F404" s="39">
        <f>VLOOKUP(H404,'PROJECT SUMMARY'!$C$26:$D$32,2,0)</f>
        <v>0</v>
      </c>
      <c r="G404" s="31">
        <f t="shared" si="299"/>
        <v>55.84210526315789</v>
      </c>
      <c r="H404" s="16" t="s">
        <v>10</v>
      </c>
      <c r="I404" s="62">
        <v>3.2000000000000001E-2</v>
      </c>
      <c r="J404" s="80">
        <v>1.2547368421052632</v>
      </c>
      <c r="K404" s="23">
        <v>47.5</v>
      </c>
      <c r="L404" s="23">
        <v>59.6</v>
      </c>
      <c r="M404" s="23">
        <v>18.5</v>
      </c>
      <c r="N404" s="23">
        <v>725.3947368421052</v>
      </c>
      <c r="O404" s="23">
        <v>784.99473684210523</v>
      </c>
      <c r="P404" s="46"/>
    </row>
    <row r="405" spans="1:16" x14ac:dyDescent="0.25">
      <c r="A405" s="60">
        <f>IF(G405&lt;&gt;"",1+MAX($A$13:A404),"")</f>
        <v>273</v>
      </c>
      <c r="C405" s="16" t="s">
        <v>49</v>
      </c>
      <c r="D405" s="59" t="s">
        <v>126</v>
      </c>
      <c r="E405" s="31">
        <f>E402*3</f>
        <v>222.81</v>
      </c>
      <c r="F405" s="39">
        <f>VLOOKUP(H405,'PROJECT SUMMARY'!$C$26:$D$32,2,0)</f>
        <v>0.05</v>
      </c>
      <c r="G405" s="31">
        <f t="shared" si="299"/>
        <v>233.95050000000001</v>
      </c>
      <c r="H405" s="16" t="s">
        <v>11</v>
      </c>
      <c r="I405" s="62">
        <v>0.04</v>
      </c>
      <c r="J405" s="80">
        <f t="shared" ref="J405:J407" si="304">I405*G405</f>
        <v>9.3580199999999998</v>
      </c>
      <c r="K405" s="23">
        <v>47.5</v>
      </c>
      <c r="L405" s="23">
        <f t="shared" ref="L405:L407" si="305">K405*J405</f>
        <v>444.50594999999998</v>
      </c>
      <c r="M405" s="23">
        <v>1.85</v>
      </c>
      <c r="N405" s="23">
        <f t="shared" ref="N405:N407" si="306">M405*G405</f>
        <v>432.80842500000006</v>
      </c>
      <c r="O405" s="23">
        <f t="shared" ref="O405:O407" si="307">L405+N405</f>
        <v>877.31437500000004</v>
      </c>
      <c r="P405" s="46"/>
    </row>
    <row r="406" spans="1:16" x14ac:dyDescent="0.25">
      <c r="A406" s="60">
        <f>IF(G406&lt;&gt;"",1+MAX($A$13:A405),"")</f>
        <v>274</v>
      </c>
      <c r="C406" s="16" t="s">
        <v>49</v>
      </c>
      <c r="D406" s="59" t="s">
        <v>373</v>
      </c>
      <c r="E406" s="31">
        <f>E402*8.67</f>
        <v>643.92089999999996</v>
      </c>
      <c r="F406" s="39">
        <f>VLOOKUP(H406,'PROJECT SUMMARY'!$C$26:$D$32,2,0)</f>
        <v>0.05</v>
      </c>
      <c r="G406" s="31">
        <f t="shared" si="299"/>
        <v>676.11694499999999</v>
      </c>
      <c r="H406" s="16" t="s">
        <v>12</v>
      </c>
      <c r="I406" s="62">
        <v>1.2999999999999999E-2</v>
      </c>
      <c r="J406" s="80">
        <f t="shared" si="304"/>
        <v>8.789520285</v>
      </c>
      <c r="K406" s="23">
        <v>47.5</v>
      </c>
      <c r="L406" s="23">
        <f t="shared" si="305"/>
        <v>417.50221353749998</v>
      </c>
      <c r="M406" s="23">
        <v>0.94</v>
      </c>
      <c r="N406" s="23">
        <f t="shared" si="306"/>
        <v>635.54992829999992</v>
      </c>
      <c r="O406" s="23">
        <f t="shared" si="307"/>
        <v>1053.0521418374999</v>
      </c>
      <c r="P406" s="46"/>
    </row>
    <row r="407" spans="1:16" x14ac:dyDescent="0.25">
      <c r="A407" s="60">
        <f>IF(G407&lt;&gt;"",1+MAX($A$13:A406),"")</f>
        <v>275</v>
      </c>
      <c r="C407" s="16" t="s">
        <v>49</v>
      </c>
      <c r="D407" s="59" t="s">
        <v>68</v>
      </c>
      <c r="E407" s="31">
        <f>E402*2</f>
        <v>148.54</v>
      </c>
      <c r="F407" s="39">
        <f>VLOOKUP(H407,'PROJECT SUMMARY'!$C$26:$D$32,2,0)</f>
        <v>0.05</v>
      </c>
      <c r="G407" s="31">
        <f t="shared" si="299"/>
        <v>155.96699999999998</v>
      </c>
      <c r="H407" s="16" t="s">
        <v>11</v>
      </c>
      <c r="I407" s="62">
        <v>7.0000000000000001E-3</v>
      </c>
      <c r="J407" s="80">
        <f t="shared" si="304"/>
        <v>1.091769</v>
      </c>
      <c r="K407" s="23">
        <v>47.5</v>
      </c>
      <c r="L407" s="23">
        <f t="shared" si="305"/>
        <v>51.859027499999996</v>
      </c>
      <c r="M407" s="23">
        <v>0.15</v>
      </c>
      <c r="N407" s="23">
        <f t="shared" si="306"/>
        <v>23.395049999999998</v>
      </c>
      <c r="O407" s="23">
        <f t="shared" si="307"/>
        <v>75.254077499999994</v>
      </c>
      <c r="P407" s="46"/>
    </row>
    <row r="408" spans="1:16" x14ac:dyDescent="0.25">
      <c r="A408" s="60" t="str">
        <f>IF(G408&lt;&gt;"",1+MAX($A$13:A407),"")</f>
        <v/>
      </c>
      <c r="J408" s="80"/>
      <c r="P408" s="46"/>
    </row>
    <row r="409" spans="1:16" x14ac:dyDescent="0.25">
      <c r="A409" s="60" t="str">
        <f>IF(G409&lt;&gt;"",1+MAX($A$13:A408),"")</f>
        <v/>
      </c>
      <c r="D409" s="58" t="s">
        <v>380</v>
      </c>
      <c r="E409" s="79">
        <v>10.46</v>
      </c>
      <c r="H409" s="16" t="s">
        <v>11</v>
      </c>
      <c r="J409" s="80"/>
      <c r="P409" s="46"/>
    </row>
    <row r="410" spans="1:16" x14ac:dyDescent="0.25">
      <c r="A410" s="60">
        <f>IF(G410&lt;&gt;"",1+MAX($A$13:A409),"")</f>
        <v>276</v>
      </c>
      <c r="C410" s="16" t="s">
        <v>49</v>
      </c>
      <c r="D410" s="59" t="s">
        <v>130</v>
      </c>
      <c r="E410" s="31">
        <f>E409*8.67/32</f>
        <v>2.8340062500000003</v>
      </c>
      <c r="F410" s="39">
        <f>VLOOKUP(H410,'PROJECT SUMMARY'!$C$26:$D$32,2,0)</f>
        <v>0</v>
      </c>
      <c r="G410" s="31">
        <f t="shared" ref="G410:G414" si="308">E410*(1+F410)</f>
        <v>2.8340062500000003</v>
      </c>
      <c r="H410" s="16" t="s">
        <v>10</v>
      </c>
      <c r="I410" s="62">
        <v>0.35</v>
      </c>
      <c r="J410" s="80">
        <f t="shared" ref="J410" si="309">I410*G410</f>
        <v>0.99190218750000003</v>
      </c>
      <c r="K410" s="23">
        <v>47.5</v>
      </c>
      <c r="L410" s="23">
        <f t="shared" ref="L410" si="310">K410*J410</f>
        <v>47.11535390625</v>
      </c>
      <c r="M410" s="23">
        <v>11</v>
      </c>
      <c r="N410" s="23">
        <f t="shared" ref="N410" si="311">M410*G410</f>
        <v>31.174068750000004</v>
      </c>
      <c r="O410" s="23">
        <f t="shared" ref="O410" si="312">L410+N410</f>
        <v>78.289422656249997</v>
      </c>
      <c r="P410" s="46"/>
    </row>
    <row r="411" spans="1:16" x14ac:dyDescent="0.25">
      <c r="A411" s="60">
        <f>IF(G411&lt;&gt;"",1+MAX($A$13:A410),"")</f>
        <v>277</v>
      </c>
      <c r="C411" s="16" t="s">
        <v>49</v>
      </c>
      <c r="D411" s="59" t="s">
        <v>125</v>
      </c>
      <c r="E411" s="31">
        <f>E409/1.33</f>
        <v>7.8646616541353387</v>
      </c>
      <c r="F411" s="39">
        <f>VLOOKUP(H411,'PROJECT SUMMARY'!$C$26:$D$32,2,0)</f>
        <v>0</v>
      </c>
      <c r="G411" s="31">
        <f t="shared" si="308"/>
        <v>7.8646616541353387</v>
      </c>
      <c r="H411" s="16" t="s">
        <v>10</v>
      </c>
      <c r="I411" s="62">
        <v>3.2000000000000001E-2</v>
      </c>
      <c r="J411" s="80">
        <v>1.2547368421052632</v>
      </c>
      <c r="K411" s="23">
        <v>47.5</v>
      </c>
      <c r="L411" s="23">
        <v>59.6</v>
      </c>
      <c r="M411" s="23">
        <v>18.5</v>
      </c>
      <c r="N411" s="23">
        <v>725.3947368421052</v>
      </c>
      <c r="O411" s="23">
        <v>784.99473684210523</v>
      </c>
      <c r="P411" s="46"/>
    </row>
    <row r="412" spans="1:16" x14ac:dyDescent="0.25">
      <c r="A412" s="60">
        <f>IF(G412&lt;&gt;"",1+MAX($A$13:A411),"")</f>
        <v>278</v>
      </c>
      <c r="C412" s="16" t="s">
        <v>49</v>
      </c>
      <c r="D412" s="59" t="s">
        <v>126</v>
      </c>
      <c r="E412" s="31">
        <f>E409*3</f>
        <v>31.380000000000003</v>
      </c>
      <c r="F412" s="39">
        <f>VLOOKUP(H412,'PROJECT SUMMARY'!$C$26:$D$32,2,0)</f>
        <v>0.05</v>
      </c>
      <c r="G412" s="31">
        <f t="shared" si="308"/>
        <v>32.949000000000005</v>
      </c>
      <c r="H412" s="16" t="s">
        <v>11</v>
      </c>
      <c r="I412" s="62">
        <v>0.04</v>
      </c>
      <c r="J412" s="80">
        <f t="shared" ref="J412:J414" si="313">I412*G412</f>
        <v>1.3179600000000002</v>
      </c>
      <c r="K412" s="23">
        <v>47.5</v>
      </c>
      <c r="L412" s="23">
        <f t="shared" ref="L412:L414" si="314">K412*J412</f>
        <v>62.603100000000012</v>
      </c>
      <c r="M412" s="23">
        <v>1.85</v>
      </c>
      <c r="N412" s="23">
        <f t="shared" ref="N412:N414" si="315">M412*G412</f>
        <v>60.955650000000013</v>
      </c>
      <c r="O412" s="23">
        <f t="shared" ref="O412:O414" si="316">L412+N412</f>
        <v>123.55875000000003</v>
      </c>
      <c r="P412" s="46"/>
    </row>
    <row r="413" spans="1:16" x14ac:dyDescent="0.25">
      <c r="A413" s="60">
        <f>IF(G413&lt;&gt;"",1+MAX($A$13:A412),"")</f>
        <v>279</v>
      </c>
      <c r="C413" s="16" t="s">
        <v>49</v>
      </c>
      <c r="D413" s="59" t="s">
        <v>373</v>
      </c>
      <c r="E413" s="31">
        <f>E409*8.67</f>
        <v>90.688200000000009</v>
      </c>
      <c r="F413" s="39">
        <f>VLOOKUP(H413,'PROJECT SUMMARY'!$C$26:$D$32,2,0)</f>
        <v>0.05</v>
      </c>
      <c r="G413" s="31">
        <f t="shared" si="308"/>
        <v>95.222610000000017</v>
      </c>
      <c r="H413" s="16" t="s">
        <v>12</v>
      </c>
      <c r="I413" s="62">
        <v>1.2999999999999999E-2</v>
      </c>
      <c r="J413" s="80">
        <f t="shared" si="313"/>
        <v>1.2378939300000003</v>
      </c>
      <c r="K413" s="23">
        <v>47.5</v>
      </c>
      <c r="L413" s="23">
        <f t="shared" si="314"/>
        <v>58.799961675000013</v>
      </c>
      <c r="M413" s="23">
        <v>0.94</v>
      </c>
      <c r="N413" s="23">
        <f t="shared" si="315"/>
        <v>89.509253400000006</v>
      </c>
      <c r="O413" s="23">
        <f t="shared" si="316"/>
        <v>148.30921507500003</v>
      </c>
      <c r="P413" s="46"/>
    </row>
    <row r="414" spans="1:16" x14ac:dyDescent="0.25">
      <c r="A414" s="60">
        <f>IF(G414&lt;&gt;"",1+MAX($A$13:A413),"")</f>
        <v>280</v>
      </c>
      <c r="C414" s="16" t="s">
        <v>49</v>
      </c>
      <c r="D414" s="59" t="s">
        <v>68</v>
      </c>
      <c r="E414" s="31">
        <f>E409*2</f>
        <v>20.92</v>
      </c>
      <c r="F414" s="39">
        <f>VLOOKUP(H414,'PROJECT SUMMARY'!$C$26:$D$32,2,0)</f>
        <v>0.05</v>
      </c>
      <c r="G414" s="31">
        <f t="shared" si="308"/>
        <v>21.966000000000001</v>
      </c>
      <c r="H414" s="16" t="s">
        <v>11</v>
      </c>
      <c r="I414" s="62">
        <v>7.0000000000000001E-3</v>
      </c>
      <c r="J414" s="80">
        <f t="shared" si="313"/>
        <v>0.15376200000000001</v>
      </c>
      <c r="K414" s="23">
        <v>47.5</v>
      </c>
      <c r="L414" s="23">
        <f t="shared" si="314"/>
        <v>7.3036950000000003</v>
      </c>
      <c r="M414" s="23">
        <v>0.15</v>
      </c>
      <c r="N414" s="23">
        <f t="shared" si="315"/>
        <v>3.2949000000000002</v>
      </c>
      <c r="O414" s="23">
        <f t="shared" si="316"/>
        <v>10.598595</v>
      </c>
      <c r="P414" s="46"/>
    </row>
    <row r="415" spans="1:16" x14ac:dyDescent="0.25">
      <c r="A415" s="60" t="str">
        <f>IF(G415&lt;&gt;"",1+MAX($A$13:A414),"")</f>
        <v/>
      </c>
      <c r="J415" s="80"/>
      <c r="P415" s="46"/>
    </row>
    <row r="416" spans="1:16" x14ac:dyDescent="0.25">
      <c r="A416" s="60" t="str">
        <f>IF(G416&lt;&gt;"",1+MAX($A$13:A415),"")</f>
        <v/>
      </c>
      <c r="D416" s="58" t="s">
        <v>381</v>
      </c>
      <c r="E416" s="79">
        <v>22.56</v>
      </c>
      <c r="H416" s="16" t="s">
        <v>11</v>
      </c>
      <c r="J416" s="80"/>
      <c r="P416" s="46"/>
    </row>
    <row r="417" spans="1:16" x14ac:dyDescent="0.25">
      <c r="A417" s="60">
        <f>IF(G417&lt;&gt;"",1+MAX($A$13:A416),"")</f>
        <v>281</v>
      </c>
      <c r="C417" s="16" t="s">
        <v>49</v>
      </c>
      <c r="D417" s="59" t="s">
        <v>124</v>
      </c>
      <c r="E417" s="31">
        <f>E416*9.9167/32</f>
        <v>6.9912735000000001</v>
      </c>
      <c r="F417" s="39">
        <f>VLOOKUP(H417,'PROJECT SUMMARY'!$C$26:$D$32,2,0)</f>
        <v>0</v>
      </c>
      <c r="G417" s="31">
        <f t="shared" ref="G417:G421" si="317">E417*(1+F417)</f>
        <v>6.9912735000000001</v>
      </c>
      <c r="H417" s="16" t="s">
        <v>10</v>
      </c>
      <c r="I417" s="62">
        <v>0.35</v>
      </c>
      <c r="J417" s="80">
        <f t="shared" ref="J417" si="318">I417*G417</f>
        <v>2.446945725</v>
      </c>
      <c r="K417" s="23">
        <v>47.5</v>
      </c>
      <c r="L417" s="23">
        <f t="shared" ref="L417" si="319">K417*J417</f>
        <v>116.2299219375</v>
      </c>
      <c r="M417" s="23">
        <v>9.6</v>
      </c>
      <c r="N417" s="23">
        <f t="shared" ref="N417" si="320">M417*G417</f>
        <v>67.116225599999993</v>
      </c>
      <c r="O417" s="23">
        <f t="shared" ref="O417" si="321">L417+N417</f>
        <v>183.34614753749997</v>
      </c>
      <c r="P417" s="46"/>
    </row>
    <row r="418" spans="1:16" x14ac:dyDescent="0.25">
      <c r="A418" s="60">
        <f>IF(G418&lt;&gt;"",1+MAX($A$13:A417),"")</f>
        <v>282</v>
      </c>
      <c r="C418" s="16" t="s">
        <v>49</v>
      </c>
      <c r="D418" s="59" t="s">
        <v>125</v>
      </c>
      <c r="E418" s="31">
        <f>E416/1.33</f>
        <v>16.96240601503759</v>
      </c>
      <c r="F418" s="39">
        <f>VLOOKUP(H418,'PROJECT SUMMARY'!$C$26:$D$32,2,0)</f>
        <v>0</v>
      </c>
      <c r="G418" s="31">
        <f t="shared" si="317"/>
        <v>16.96240601503759</v>
      </c>
      <c r="H418" s="16" t="s">
        <v>10</v>
      </c>
      <c r="I418" s="62">
        <v>3.2000000000000001E-2</v>
      </c>
      <c r="J418" s="80">
        <v>1.2547368421052632</v>
      </c>
      <c r="K418" s="23">
        <v>47.5</v>
      </c>
      <c r="L418" s="23">
        <v>59.6</v>
      </c>
      <c r="M418" s="23">
        <v>18.5</v>
      </c>
      <c r="N418" s="23">
        <v>725.3947368421052</v>
      </c>
      <c r="O418" s="23">
        <v>784.99473684210523</v>
      </c>
      <c r="P418" s="46"/>
    </row>
    <row r="419" spans="1:16" x14ac:dyDescent="0.25">
      <c r="A419" s="60">
        <f>IF(G419&lt;&gt;"",1+MAX($A$13:A418),"")</f>
        <v>283</v>
      </c>
      <c r="C419" s="16" t="s">
        <v>49</v>
      </c>
      <c r="D419" s="59" t="s">
        <v>126</v>
      </c>
      <c r="E419" s="31">
        <f>E416*3</f>
        <v>67.679999999999993</v>
      </c>
      <c r="F419" s="39">
        <f>VLOOKUP(H419,'PROJECT SUMMARY'!$C$26:$D$32,2,0)</f>
        <v>0.05</v>
      </c>
      <c r="G419" s="31">
        <f t="shared" si="317"/>
        <v>71.063999999999993</v>
      </c>
      <c r="H419" s="16" t="s">
        <v>11</v>
      </c>
      <c r="I419" s="62">
        <v>0.04</v>
      </c>
      <c r="J419" s="80">
        <f t="shared" ref="J419:J421" si="322">I419*G419</f>
        <v>2.8425599999999998</v>
      </c>
      <c r="K419" s="23">
        <v>47.5</v>
      </c>
      <c r="L419" s="23">
        <f t="shared" ref="L419:L421" si="323">K419*J419</f>
        <v>135.02159999999998</v>
      </c>
      <c r="M419" s="23">
        <v>1.85</v>
      </c>
      <c r="N419" s="23">
        <f t="shared" ref="N419:N421" si="324">M419*G419</f>
        <v>131.4684</v>
      </c>
      <c r="O419" s="23">
        <f t="shared" ref="O419:O421" si="325">L419+N419</f>
        <v>266.49</v>
      </c>
      <c r="P419" s="46"/>
    </row>
    <row r="420" spans="1:16" x14ac:dyDescent="0.25">
      <c r="A420" s="60">
        <f>IF(G420&lt;&gt;"",1+MAX($A$13:A419),"")</f>
        <v>284</v>
      </c>
      <c r="C420" s="16" t="s">
        <v>49</v>
      </c>
      <c r="D420" s="59" t="s">
        <v>373</v>
      </c>
      <c r="E420" s="31">
        <f>E416*9.9167</f>
        <v>223.720752</v>
      </c>
      <c r="F420" s="39">
        <f>VLOOKUP(H420,'PROJECT SUMMARY'!$C$26:$D$32,2,0)</f>
        <v>0.05</v>
      </c>
      <c r="G420" s="31">
        <f t="shared" si="317"/>
        <v>234.90678960000002</v>
      </c>
      <c r="H420" s="16" t="s">
        <v>12</v>
      </c>
      <c r="I420" s="62">
        <v>1.2999999999999999E-2</v>
      </c>
      <c r="J420" s="80">
        <f t="shared" si="322"/>
        <v>3.0537882648000001</v>
      </c>
      <c r="K420" s="23">
        <v>47.5</v>
      </c>
      <c r="L420" s="23">
        <f t="shared" si="323"/>
        <v>145.05494257800001</v>
      </c>
      <c r="M420" s="23">
        <v>0.94</v>
      </c>
      <c r="N420" s="23">
        <f t="shared" si="324"/>
        <v>220.812382224</v>
      </c>
      <c r="O420" s="23">
        <f t="shared" si="325"/>
        <v>365.86732480199998</v>
      </c>
      <c r="P420" s="46"/>
    </row>
    <row r="421" spans="1:16" x14ac:dyDescent="0.25">
      <c r="A421" s="60">
        <f>IF(G421&lt;&gt;"",1+MAX($A$13:A420),"")</f>
        <v>285</v>
      </c>
      <c r="C421" s="16" t="s">
        <v>49</v>
      </c>
      <c r="D421" s="59" t="s">
        <v>68</v>
      </c>
      <c r="E421" s="31">
        <f>E416*2</f>
        <v>45.12</v>
      </c>
      <c r="F421" s="39">
        <f>VLOOKUP(H421,'PROJECT SUMMARY'!$C$26:$D$32,2,0)</f>
        <v>0.05</v>
      </c>
      <c r="G421" s="31">
        <f t="shared" si="317"/>
        <v>47.375999999999998</v>
      </c>
      <c r="H421" s="16" t="s">
        <v>11</v>
      </c>
      <c r="I421" s="62">
        <v>7.0000000000000001E-3</v>
      </c>
      <c r="J421" s="80">
        <f t="shared" si="322"/>
        <v>0.33163199999999998</v>
      </c>
      <c r="K421" s="23">
        <v>47.5</v>
      </c>
      <c r="L421" s="23">
        <f t="shared" si="323"/>
        <v>15.752519999999999</v>
      </c>
      <c r="M421" s="23">
        <v>0.15</v>
      </c>
      <c r="N421" s="23">
        <f t="shared" si="324"/>
        <v>7.1063999999999998</v>
      </c>
      <c r="O421" s="23">
        <f t="shared" si="325"/>
        <v>22.858919999999998</v>
      </c>
      <c r="P421" s="46"/>
    </row>
    <row r="422" spans="1:16" x14ac:dyDescent="0.25">
      <c r="A422" s="60" t="str">
        <f>IF(G422&lt;&gt;"",1+MAX($A$13:A421),"")</f>
        <v/>
      </c>
      <c r="J422" s="80"/>
      <c r="P422" s="46"/>
    </row>
    <row r="423" spans="1:16" x14ac:dyDescent="0.25">
      <c r="A423" s="60" t="str">
        <f>IF(G423&lt;&gt;"",1+MAX($A$13:A422),"")</f>
        <v/>
      </c>
      <c r="D423" s="58" t="s">
        <v>382</v>
      </c>
      <c r="E423" s="79">
        <v>33.44</v>
      </c>
      <c r="H423" s="16" t="s">
        <v>11</v>
      </c>
      <c r="J423" s="80"/>
      <c r="P423" s="46"/>
    </row>
    <row r="424" spans="1:16" x14ac:dyDescent="0.25">
      <c r="A424" s="60">
        <f>IF(G424&lt;&gt;"",1+MAX($A$13:A423),"")</f>
        <v>286</v>
      </c>
      <c r="C424" s="16" t="s">
        <v>49</v>
      </c>
      <c r="D424" s="59" t="s">
        <v>130</v>
      </c>
      <c r="E424" s="31">
        <f>E423*9.9167/32</f>
        <v>10.362951499999999</v>
      </c>
      <c r="F424" s="39">
        <f>VLOOKUP(H424,'PROJECT SUMMARY'!$C$26:$D$32,2,0)</f>
        <v>0</v>
      </c>
      <c r="G424" s="31">
        <f t="shared" ref="G424:G428" si="326">E424*(1+F424)</f>
        <v>10.362951499999999</v>
      </c>
      <c r="H424" s="16" t="s">
        <v>10</v>
      </c>
      <c r="I424" s="62">
        <v>0.35</v>
      </c>
      <c r="J424" s="80">
        <f t="shared" ref="J424" si="327">I424*G424</f>
        <v>3.6270330249999994</v>
      </c>
      <c r="K424" s="23">
        <v>47.5</v>
      </c>
      <c r="L424" s="23">
        <f t="shared" ref="L424" si="328">K424*J424</f>
        <v>172.28406868749997</v>
      </c>
      <c r="M424" s="23">
        <v>11</v>
      </c>
      <c r="N424" s="23">
        <f t="shared" ref="N424" si="329">M424*G424</f>
        <v>113.99246649999999</v>
      </c>
      <c r="O424" s="23">
        <f t="shared" ref="O424" si="330">L424+N424</f>
        <v>286.27653518749997</v>
      </c>
      <c r="P424" s="46"/>
    </row>
    <row r="425" spans="1:16" x14ac:dyDescent="0.25">
      <c r="A425" s="60">
        <f>IF(G425&lt;&gt;"",1+MAX($A$13:A424),"")</f>
        <v>287</v>
      </c>
      <c r="C425" s="16" t="s">
        <v>49</v>
      </c>
      <c r="D425" s="59" t="s">
        <v>125</v>
      </c>
      <c r="E425" s="31">
        <f>E423/1.33</f>
        <v>25.142857142857139</v>
      </c>
      <c r="F425" s="39">
        <f>VLOOKUP(H425,'PROJECT SUMMARY'!$C$26:$D$32,2,0)</f>
        <v>0</v>
      </c>
      <c r="G425" s="31">
        <f t="shared" si="326"/>
        <v>25.142857142857139</v>
      </c>
      <c r="H425" s="16" t="s">
        <v>10</v>
      </c>
      <c r="I425" s="62">
        <v>3.2000000000000001E-2</v>
      </c>
      <c r="J425" s="80">
        <v>1.2547368421052632</v>
      </c>
      <c r="K425" s="23">
        <v>47.5</v>
      </c>
      <c r="L425" s="23">
        <v>59.6</v>
      </c>
      <c r="M425" s="23">
        <v>18.5</v>
      </c>
      <c r="N425" s="23">
        <v>725.3947368421052</v>
      </c>
      <c r="O425" s="23">
        <v>784.99473684210523</v>
      </c>
      <c r="P425" s="46"/>
    </row>
    <row r="426" spans="1:16" x14ac:dyDescent="0.25">
      <c r="A426" s="60">
        <f>IF(G426&lt;&gt;"",1+MAX($A$13:A425),"")</f>
        <v>288</v>
      </c>
      <c r="C426" s="16" t="s">
        <v>49</v>
      </c>
      <c r="D426" s="59" t="s">
        <v>126</v>
      </c>
      <c r="E426" s="31">
        <f>E423*3</f>
        <v>100.32</v>
      </c>
      <c r="F426" s="39">
        <f>VLOOKUP(H426,'PROJECT SUMMARY'!$C$26:$D$32,2,0)</f>
        <v>0.05</v>
      </c>
      <c r="G426" s="31">
        <f t="shared" si="326"/>
        <v>105.336</v>
      </c>
      <c r="H426" s="16" t="s">
        <v>11</v>
      </c>
      <c r="I426" s="62">
        <v>0.04</v>
      </c>
      <c r="J426" s="80">
        <f t="shared" ref="J426:J428" si="331">I426*G426</f>
        <v>4.2134400000000003</v>
      </c>
      <c r="K426" s="23">
        <v>47.5</v>
      </c>
      <c r="L426" s="23">
        <f t="shared" ref="L426:L428" si="332">K426*J426</f>
        <v>200.13840000000002</v>
      </c>
      <c r="M426" s="23">
        <v>1.85</v>
      </c>
      <c r="N426" s="23">
        <f t="shared" ref="N426:N428" si="333">M426*G426</f>
        <v>194.8716</v>
      </c>
      <c r="O426" s="23">
        <f t="shared" ref="O426:O428" si="334">L426+N426</f>
        <v>395.01</v>
      </c>
      <c r="P426" s="46"/>
    </row>
    <row r="427" spans="1:16" x14ac:dyDescent="0.25">
      <c r="A427" s="60">
        <f>IF(G427&lt;&gt;"",1+MAX($A$13:A426),"")</f>
        <v>289</v>
      </c>
      <c r="C427" s="16" t="s">
        <v>49</v>
      </c>
      <c r="D427" s="59" t="s">
        <v>373</v>
      </c>
      <c r="E427" s="31">
        <f>E423*9.9167</f>
        <v>331.61444799999998</v>
      </c>
      <c r="F427" s="39">
        <f>VLOOKUP(H427,'PROJECT SUMMARY'!$C$26:$D$32,2,0)</f>
        <v>0.05</v>
      </c>
      <c r="G427" s="31">
        <f t="shared" si="326"/>
        <v>348.19517039999999</v>
      </c>
      <c r="H427" s="16" t="s">
        <v>12</v>
      </c>
      <c r="I427" s="62">
        <v>1.2999999999999999E-2</v>
      </c>
      <c r="J427" s="80">
        <f t="shared" si="331"/>
        <v>4.5265372151999994</v>
      </c>
      <c r="K427" s="23">
        <v>47.5</v>
      </c>
      <c r="L427" s="23">
        <f t="shared" si="332"/>
        <v>215.01051772199997</v>
      </c>
      <c r="M427" s="23">
        <v>0.94</v>
      </c>
      <c r="N427" s="23">
        <f t="shared" si="333"/>
        <v>327.30346017599999</v>
      </c>
      <c r="O427" s="23">
        <f t="shared" si="334"/>
        <v>542.31397789799996</v>
      </c>
      <c r="P427" s="46"/>
    </row>
    <row r="428" spans="1:16" x14ac:dyDescent="0.25">
      <c r="A428" s="60">
        <f>IF(G428&lt;&gt;"",1+MAX($A$13:A427),"")</f>
        <v>290</v>
      </c>
      <c r="C428" s="16" t="s">
        <v>49</v>
      </c>
      <c r="D428" s="59" t="s">
        <v>68</v>
      </c>
      <c r="E428" s="31">
        <f>E423*2</f>
        <v>66.88</v>
      </c>
      <c r="F428" s="39">
        <f>VLOOKUP(H428,'PROJECT SUMMARY'!$C$26:$D$32,2,0)</f>
        <v>0.05</v>
      </c>
      <c r="G428" s="31">
        <f t="shared" si="326"/>
        <v>70.224000000000004</v>
      </c>
      <c r="H428" s="16" t="s">
        <v>11</v>
      </c>
      <c r="I428" s="62">
        <v>7.0000000000000001E-3</v>
      </c>
      <c r="J428" s="80">
        <f t="shared" si="331"/>
        <v>0.49156800000000006</v>
      </c>
      <c r="K428" s="23">
        <v>47.5</v>
      </c>
      <c r="L428" s="23">
        <f t="shared" si="332"/>
        <v>23.349480000000003</v>
      </c>
      <c r="M428" s="23">
        <v>0.15</v>
      </c>
      <c r="N428" s="23">
        <f t="shared" si="333"/>
        <v>10.5336</v>
      </c>
      <c r="O428" s="23">
        <f t="shared" si="334"/>
        <v>33.883080000000007</v>
      </c>
      <c r="P428" s="46"/>
    </row>
    <row r="429" spans="1:16" x14ac:dyDescent="0.25">
      <c r="A429" s="60" t="str">
        <f>IF(G429&lt;&gt;"",1+MAX($A$13:A428),"")</f>
        <v/>
      </c>
      <c r="J429" s="80"/>
      <c r="P429" s="46"/>
    </row>
    <row r="430" spans="1:16" x14ac:dyDescent="0.25">
      <c r="A430" s="60" t="str">
        <f>IF(G430&lt;&gt;"",1+MAX($A$13:A429),"")</f>
        <v/>
      </c>
      <c r="D430" s="58" t="s">
        <v>383</v>
      </c>
      <c r="E430" s="79">
        <v>243.24</v>
      </c>
      <c r="H430" s="16" t="s">
        <v>11</v>
      </c>
      <c r="J430" s="80"/>
      <c r="P430" s="46"/>
    </row>
    <row r="431" spans="1:16" x14ac:dyDescent="0.25">
      <c r="A431" s="60">
        <f>IF(G431&lt;&gt;"",1+MAX($A$13:A430),"")</f>
        <v>291</v>
      </c>
      <c r="C431" s="16" t="s">
        <v>49</v>
      </c>
      <c r="D431" s="59" t="s">
        <v>124</v>
      </c>
      <c r="E431" s="31">
        <f>E430*9.5/32</f>
        <v>72.211875000000006</v>
      </c>
      <c r="F431" s="39">
        <f>VLOOKUP(H431,'PROJECT SUMMARY'!$C$26:$D$32,2,0)</f>
        <v>0</v>
      </c>
      <c r="G431" s="31">
        <f t="shared" ref="G431:G435" si="335">E431*(1+F431)</f>
        <v>72.211875000000006</v>
      </c>
      <c r="H431" s="16" t="s">
        <v>10</v>
      </c>
      <c r="I431" s="62">
        <v>0.35</v>
      </c>
      <c r="J431" s="80">
        <f t="shared" ref="J431" si="336">I431*G431</f>
        <v>25.274156250000001</v>
      </c>
      <c r="K431" s="23">
        <v>47.5</v>
      </c>
      <c r="L431" s="23">
        <f t="shared" ref="L431" si="337">K431*J431</f>
        <v>1200.522421875</v>
      </c>
      <c r="M431" s="23">
        <v>9.6</v>
      </c>
      <c r="N431" s="23">
        <f t="shared" ref="N431" si="338">M431*G431</f>
        <v>693.23400000000004</v>
      </c>
      <c r="O431" s="23">
        <f t="shared" ref="O431" si="339">L431+N431</f>
        <v>1893.7564218749999</v>
      </c>
      <c r="P431" s="46"/>
    </row>
    <row r="432" spans="1:16" x14ac:dyDescent="0.25">
      <c r="A432" s="60">
        <f>IF(G432&lt;&gt;"",1+MAX($A$13:A431),"")</f>
        <v>292</v>
      </c>
      <c r="C432" s="16" t="s">
        <v>49</v>
      </c>
      <c r="D432" s="59" t="s">
        <v>125</v>
      </c>
      <c r="E432" s="31">
        <f>E430/1.33</f>
        <v>182.88721804511277</v>
      </c>
      <c r="F432" s="39">
        <f>VLOOKUP(H432,'PROJECT SUMMARY'!$C$26:$D$32,2,0)</f>
        <v>0</v>
      </c>
      <c r="G432" s="31">
        <f t="shared" si="335"/>
        <v>182.88721804511277</v>
      </c>
      <c r="H432" s="16" t="s">
        <v>10</v>
      </c>
      <c r="I432" s="62">
        <v>3.2000000000000001E-2</v>
      </c>
      <c r="J432" s="80">
        <v>1.2547368421052632</v>
      </c>
      <c r="K432" s="23">
        <v>47.5</v>
      </c>
      <c r="L432" s="23">
        <v>59.6</v>
      </c>
      <c r="M432" s="23">
        <v>18.5</v>
      </c>
      <c r="N432" s="23">
        <v>725.3947368421052</v>
      </c>
      <c r="O432" s="23">
        <v>784.99473684210523</v>
      </c>
      <c r="P432" s="46"/>
    </row>
    <row r="433" spans="1:16" x14ac:dyDescent="0.25">
      <c r="A433" s="60">
        <f>IF(G433&lt;&gt;"",1+MAX($A$13:A432),"")</f>
        <v>293</v>
      </c>
      <c r="C433" s="16" t="s">
        <v>49</v>
      </c>
      <c r="D433" s="59" t="s">
        <v>126</v>
      </c>
      <c r="E433" s="31">
        <f>E430*3</f>
        <v>729.72</v>
      </c>
      <c r="F433" s="39">
        <f>VLOOKUP(H433,'PROJECT SUMMARY'!$C$26:$D$32,2,0)</f>
        <v>0.05</v>
      </c>
      <c r="G433" s="31">
        <f t="shared" si="335"/>
        <v>766.20600000000002</v>
      </c>
      <c r="H433" s="16" t="s">
        <v>11</v>
      </c>
      <c r="I433" s="62">
        <v>0.04</v>
      </c>
      <c r="J433" s="80">
        <f t="shared" ref="J433:J435" si="340">I433*G433</f>
        <v>30.648240000000001</v>
      </c>
      <c r="K433" s="23">
        <v>47.5</v>
      </c>
      <c r="L433" s="23">
        <f t="shared" ref="L433:L435" si="341">K433*J433</f>
        <v>1455.7914000000001</v>
      </c>
      <c r="M433" s="23">
        <v>1.85</v>
      </c>
      <c r="N433" s="23">
        <f t="shared" ref="N433:N435" si="342">M433*G433</f>
        <v>1417.4811000000002</v>
      </c>
      <c r="O433" s="23">
        <f t="shared" ref="O433:O435" si="343">L433+N433</f>
        <v>2873.2725</v>
      </c>
      <c r="P433" s="46"/>
    </row>
    <row r="434" spans="1:16" x14ac:dyDescent="0.25">
      <c r="A434" s="60">
        <f>IF(G434&lt;&gt;"",1+MAX($A$13:A433),"")</f>
        <v>294</v>
      </c>
      <c r="C434" s="16" t="s">
        <v>49</v>
      </c>
      <c r="D434" s="59" t="s">
        <v>373</v>
      </c>
      <c r="E434" s="31">
        <f>E430*9.5</f>
        <v>2310.7800000000002</v>
      </c>
      <c r="F434" s="39">
        <f>VLOOKUP(H434,'PROJECT SUMMARY'!$C$26:$D$32,2,0)</f>
        <v>0.05</v>
      </c>
      <c r="G434" s="31">
        <f t="shared" si="335"/>
        <v>2426.3190000000004</v>
      </c>
      <c r="H434" s="16" t="s">
        <v>12</v>
      </c>
      <c r="I434" s="62">
        <v>1.2999999999999999E-2</v>
      </c>
      <c r="J434" s="80">
        <f t="shared" si="340"/>
        <v>31.542147000000003</v>
      </c>
      <c r="K434" s="23">
        <v>47.5</v>
      </c>
      <c r="L434" s="23">
        <f t="shared" si="341"/>
        <v>1498.2519825000002</v>
      </c>
      <c r="M434" s="23">
        <v>0.94</v>
      </c>
      <c r="N434" s="23">
        <f t="shared" si="342"/>
        <v>2280.7398600000001</v>
      </c>
      <c r="O434" s="23">
        <f t="shared" si="343"/>
        <v>3778.9918425000005</v>
      </c>
      <c r="P434" s="46"/>
    </row>
    <row r="435" spans="1:16" x14ac:dyDescent="0.25">
      <c r="A435" s="60">
        <f>IF(G435&lt;&gt;"",1+MAX($A$13:A434),"")</f>
        <v>295</v>
      </c>
      <c r="C435" s="16" t="s">
        <v>49</v>
      </c>
      <c r="D435" s="59" t="s">
        <v>68</v>
      </c>
      <c r="E435" s="31">
        <f>E430*2</f>
        <v>486.48</v>
      </c>
      <c r="F435" s="39">
        <f>VLOOKUP(H435,'PROJECT SUMMARY'!$C$26:$D$32,2,0)</f>
        <v>0.05</v>
      </c>
      <c r="G435" s="31">
        <f t="shared" si="335"/>
        <v>510.80400000000003</v>
      </c>
      <c r="H435" s="16" t="s">
        <v>11</v>
      </c>
      <c r="I435" s="62">
        <v>7.0000000000000001E-3</v>
      </c>
      <c r="J435" s="80">
        <f t="shared" si="340"/>
        <v>3.5756280000000005</v>
      </c>
      <c r="K435" s="23">
        <v>47.5</v>
      </c>
      <c r="L435" s="23">
        <f t="shared" si="341"/>
        <v>169.84233000000003</v>
      </c>
      <c r="M435" s="23">
        <v>0.15</v>
      </c>
      <c r="N435" s="23">
        <f t="shared" si="342"/>
        <v>76.620599999999996</v>
      </c>
      <c r="O435" s="23">
        <f t="shared" si="343"/>
        <v>246.46293000000003</v>
      </c>
      <c r="P435" s="46"/>
    </row>
    <row r="436" spans="1:16" x14ac:dyDescent="0.25">
      <c r="A436" s="60" t="str">
        <f>IF(G436&lt;&gt;"",1+MAX($A$13:A435),"")</f>
        <v/>
      </c>
      <c r="J436" s="80"/>
      <c r="P436" s="46"/>
    </row>
    <row r="437" spans="1:16" x14ac:dyDescent="0.25">
      <c r="A437" s="60" t="str">
        <f>IF(G437&lt;&gt;"",1+MAX($A$13:A436),"")</f>
        <v/>
      </c>
      <c r="D437" s="58" t="s">
        <v>384</v>
      </c>
      <c r="E437" s="79">
        <v>115.42</v>
      </c>
      <c r="H437" s="16" t="s">
        <v>11</v>
      </c>
      <c r="J437" s="80"/>
      <c r="P437" s="46"/>
    </row>
    <row r="438" spans="1:16" x14ac:dyDescent="0.25">
      <c r="A438" s="60">
        <f>IF(G438&lt;&gt;"",1+MAX($A$13:A437),"")</f>
        <v>296</v>
      </c>
      <c r="C438" s="16" t="s">
        <v>49</v>
      </c>
      <c r="D438" s="59" t="s">
        <v>130</v>
      </c>
      <c r="E438" s="31">
        <f>E437*9.5/32</f>
        <v>34.2653125</v>
      </c>
      <c r="F438" s="39">
        <f>VLOOKUP(H438,'PROJECT SUMMARY'!$C$26:$D$32,2,0)</f>
        <v>0</v>
      </c>
      <c r="G438" s="31">
        <f t="shared" ref="G438:G442" si="344">E438*(1+F438)</f>
        <v>34.2653125</v>
      </c>
      <c r="H438" s="16" t="s">
        <v>10</v>
      </c>
      <c r="I438" s="62">
        <v>0.35</v>
      </c>
      <c r="J438" s="80">
        <f t="shared" ref="J438" si="345">I438*G438</f>
        <v>11.992859375</v>
      </c>
      <c r="K438" s="23">
        <v>47.5</v>
      </c>
      <c r="L438" s="23">
        <f t="shared" ref="L438" si="346">K438*J438</f>
        <v>569.66082031250005</v>
      </c>
      <c r="M438" s="23">
        <v>11</v>
      </c>
      <c r="N438" s="23">
        <f t="shared" ref="N438" si="347">M438*G438</f>
        <v>376.91843749999998</v>
      </c>
      <c r="O438" s="23">
        <f t="shared" ref="O438" si="348">L438+N438</f>
        <v>946.57925781250003</v>
      </c>
      <c r="P438" s="46"/>
    </row>
    <row r="439" spans="1:16" x14ac:dyDescent="0.25">
      <c r="A439" s="60">
        <f>IF(G439&lt;&gt;"",1+MAX($A$13:A438),"")</f>
        <v>297</v>
      </c>
      <c r="C439" s="16" t="s">
        <v>49</v>
      </c>
      <c r="D439" s="59" t="s">
        <v>125</v>
      </c>
      <c r="E439" s="31">
        <f>E437/1.33</f>
        <v>86.781954887218035</v>
      </c>
      <c r="F439" s="39">
        <f>VLOOKUP(H439,'PROJECT SUMMARY'!$C$26:$D$32,2,0)</f>
        <v>0</v>
      </c>
      <c r="G439" s="31">
        <f t="shared" si="344"/>
        <v>86.781954887218035</v>
      </c>
      <c r="H439" s="16" t="s">
        <v>10</v>
      </c>
      <c r="I439" s="62">
        <v>3.2000000000000001E-2</v>
      </c>
      <c r="J439" s="80">
        <v>1.2547368421052632</v>
      </c>
      <c r="K439" s="23">
        <v>47.5</v>
      </c>
      <c r="L439" s="23">
        <v>59.6</v>
      </c>
      <c r="M439" s="23">
        <v>18.5</v>
      </c>
      <c r="N439" s="23">
        <v>725.3947368421052</v>
      </c>
      <c r="O439" s="23">
        <v>784.99473684210523</v>
      </c>
      <c r="P439" s="46"/>
    </row>
    <row r="440" spans="1:16" x14ac:dyDescent="0.25">
      <c r="A440" s="60">
        <f>IF(G440&lt;&gt;"",1+MAX($A$13:A439),"")</f>
        <v>298</v>
      </c>
      <c r="C440" s="16" t="s">
        <v>49</v>
      </c>
      <c r="D440" s="59" t="s">
        <v>126</v>
      </c>
      <c r="E440" s="31">
        <f>E437*3</f>
        <v>346.26</v>
      </c>
      <c r="F440" s="39">
        <f>VLOOKUP(H440,'PROJECT SUMMARY'!$C$26:$D$32,2,0)</f>
        <v>0.05</v>
      </c>
      <c r="G440" s="31">
        <f t="shared" si="344"/>
        <v>363.57299999999998</v>
      </c>
      <c r="H440" s="16" t="s">
        <v>11</v>
      </c>
      <c r="I440" s="62">
        <v>0.04</v>
      </c>
      <c r="J440" s="80">
        <f t="shared" ref="J440:J442" si="349">I440*G440</f>
        <v>14.542919999999999</v>
      </c>
      <c r="K440" s="23">
        <v>47.5</v>
      </c>
      <c r="L440" s="23">
        <f t="shared" ref="L440:L442" si="350">K440*J440</f>
        <v>690.78869999999995</v>
      </c>
      <c r="M440" s="23">
        <v>1.85</v>
      </c>
      <c r="N440" s="23">
        <f t="shared" ref="N440:N442" si="351">M440*G440</f>
        <v>672.61005</v>
      </c>
      <c r="O440" s="23">
        <f t="shared" ref="O440:O442" si="352">L440+N440</f>
        <v>1363.3987499999998</v>
      </c>
      <c r="P440" s="46"/>
    </row>
    <row r="441" spans="1:16" x14ac:dyDescent="0.25">
      <c r="A441" s="60">
        <f>IF(G441&lt;&gt;"",1+MAX($A$13:A440),"")</f>
        <v>299</v>
      </c>
      <c r="C441" s="16" t="s">
        <v>49</v>
      </c>
      <c r="D441" s="59" t="s">
        <v>373</v>
      </c>
      <c r="E441" s="31">
        <f>E437*9.5</f>
        <v>1096.49</v>
      </c>
      <c r="F441" s="39">
        <f>VLOOKUP(H441,'PROJECT SUMMARY'!$C$26:$D$32,2,0)</f>
        <v>0.05</v>
      </c>
      <c r="G441" s="31">
        <f t="shared" si="344"/>
        <v>1151.3145</v>
      </c>
      <c r="H441" s="16" t="s">
        <v>12</v>
      </c>
      <c r="I441" s="62">
        <v>1.2999999999999999E-2</v>
      </c>
      <c r="J441" s="80">
        <f t="shared" si="349"/>
        <v>14.967088499999999</v>
      </c>
      <c r="K441" s="23">
        <v>47.5</v>
      </c>
      <c r="L441" s="23">
        <f t="shared" si="350"/>
        <v>710.93670374999999</v>
      </c>
      <c r="M441" s="23">
        <v>0.94</v>
      </c>
      <c r="N441" s="23">
        <f t="shared" si="351"/>
        <v>1082.2356299999999</v>
      </c>
      <c r="O441" s="23">
        <f t="shared" si="352"/>
        <v>1793.1723337499998</v>
      </c>
      <c r="P441" s="46"/>
    </row>
    <row r="442" spans="1:16" x14ac:dyDescent="0.25">
      <c r="A442" s="60">
        <f>IF(G442&lt;&gt;"",1+MAX($A$13:A441),"")</f>
        <v>300</v>
      </c>
      <c r="C442" s="16" t="s">
        <v>49</v>
      </c>
      <c r="D442" s="59" t="s">
        <v>68</v>
      </c>
      <c r="E442" s="31">
        <f>E437*2</f>
        <v>230.84</v>
      </c>
      <c r="F442" s="39">
        <f>VLOOKUP(H442,'PROJECT SUMMARY'!$C$26:$D$32,2,0)</f>
        <v>0.05</v>
      </c>
      <c r="G442" s="31">
        <f t="shared" si="344"/>
        <v>242.38200000000001</v>
      </c>
      <c r="H442" s="16" t="s">
        <v>11</v>
      </c>
      <c r="I442" s="62">
        <v>7.0000000000000001E-3</v>
      </c>
      <c r="J442" s="80">
        <f t="shared" si="349"/>
        <v>1.696674</v>
      </c>
      <c r="K442" s="23">
        <v>47.5</v>
      </c>
      <c r="L442" s="23">
        <f t="shared" si="350"/>
        <v>80.592015000000004</v>
      </c>
      <c r="M442" s="23">
        <v>0.15</v>
      </c>
      <c r="N442" s="23">
        <f t="shared" si="351"/>
        <v>36.357300000000002</v>
      </c>
      <c r="O442" s="23">
        <f t="shared" si="352"/>
        <v>116.94931500000001</v>
      </c>
      <c r="P442" s="46"/>
    </row>
    <row r="443" spans="1:16" x14ac:dyDescent="0.25">
      <c r="A443" s="60" t="str">
        <f>IF(G443&lt;&gt;"",1+MAX($A$13:A442),"")</f>
        <v/>
      </c>
      <c r="J443" s="80"/>
      <c r="P443" s="46"/>
    </row>
    <row r="444" spans="1:16" x14ac:dyDescent="0.25">
      <c r="A444" s="60" t="str">
        <f>IF(G444&lt;&gt;"",1+MAX($A$13:A443),"")</f>
        <v/>
      </c>
      <c r="D444" s="58" t="s">
        <v>385</v>
      </c>
      <c r="E444" s="79">
        <v>45.49</v>
      </c>
      <c r="H444" s="16" t="s">
        <v>11</v>
      </c>
      <c r="J444" s="80"/>
      <c r="P444" s="46"/>
    </row>
    <row r="445" spans="1:16" x14ac:dyDescent="0.25">
      <c r="A445" s="60">
        <f>IF(G445&lt;&gt;"",1+MAX($A$13:A444),"")</f>
        <v>301</v>
      </c>
      <c r="C445" s="16" t="s">
        <v>49</v>
      </c>
      <c r="D445" s="59" t="s">
        <v>124</v>
      </c>
      <c r="E445" s="31">
        <f>E444*11/32</f>
        <v>15.637187500000001</v>
      </c>
      <c r="F445" s="39">
        <f>VLOOKUP(H445,'PROJECT SUMMARY'!$C$26:$D$32,2,0)</f>
        <v>0</v>
      </c>
      <c r="G445" s="31">
        <f t="shared" ref="G445:G449" si="353">E445*(1+F445)</f>
        <v>15.637187500000001</v>
      </c>
      <c r="H445" s="16" t="s">
        <v>10</v>
      </c>
      <c r="I445" s="62">
        <v>0.35</v>
      </c>
      <c r="J445" s="80">
        <f t="shared" ref="J445" si="354">I445*G445</f>
        <v>5.4730156250000004</v>
      </c>
      <c r="K445" s="23">
        <v>47.5</v>
      </c>
      <c r="L445" s="23">
        <f t="shared" ref="L445" si="355">K445*J445</f>
        <v>259.96824218750004</v>
      </c>
      <c r="M445" s="23">
        <v>9.6</v>
      </c>
      <c r="N445" s="23">
        <f t="shared" ref="N445" si="356">M445*G445</f>
        <v>150.11700000000002</v>
      </c>
      <c r="O445" s="23">
        <f t="shared" ref="O445" si="357">L445+N445</f>
        <v>410.08524218750006</v>
      </c>
      <c r="P445" s="46"/>
    </row>
    <row r="446" spans="1:16" x14ac:dyDescent="0.25">
      <c r="A446" s="60">
        <f>IF(G446&lt;&gt;"",1+MAX($A$13:A445),"")</f>
        <v>302</v>
      </c>
      <c r="C446" s="16" t="s">
        <v>49</v>
      </c>
      <c r="D446" s="59" t="s">
        <v>127</v>
      </c>
      <c r="E446" s="31">
        <f>E444/1.33</f>
        <v>34.203007518796994</v>
      </c>
      <c r="F446" s="39">
        <f>VLOOKUP(H446,'PROJECT SUMMARY'!$C$26:$D$32,2,0)</f>
        <v>0</v>
      </c>
      <c r="G446" s="31">
        <f t="shared" si="353"/>
        <v>34.203007518796994</v>
      </c>
      <c r="H446" s="16" t="s">
        <v>10</v>
      </c>
      <c r="I446" s="62">
        <v>4.2000000000000003E-2</v>
      </c>
      <c r="J446" s="80">
        <f t="shared" ref="J446:J449" si="358">I446*G446</f>
        <v>1.4365263157894739</v>
      </c>
      <c r="K446" s="23">
        <v>47.5</v>
      </c>
      <c r="L446" s="23">
        <f t="shared" ref="L446:L449" si="359">K446*J446</f>
        <v>68.235000000000014</v>
      </c>
      <c r="M446" s="23">
        <f>1.85*12</f>
        <v>22.200000000000003</v>
      </c>
      <c r="N446" s="23">
        <f t="shared" ref="N446:N449" si="360">M446*G446</f>
        <v>759.30676691729332</v>
      </c>
      <c r="O446" s="23">
        <f t="shared" ref="O446:O449" si="361">L446+N446</f>
        <v>827.54176691729333</v>
      </c>
      <c r="P446" s="46"/>
    </row>
    <row r="447" spans="1:16" x14ac:dyDescent="0.25">
      <c r="A447" s="60">
        <f>IF(G447&lt;&gt;"",1+MAX($A$13:A446),"")</f>
        <v>303</v>
      </c>
      <c r="C447" s="16" t="s">
        <v>49</v>
      </c>
      <c r="D447" s="59" t="s">
        <v>126</v>
      </c>
      <c r="E447" s="31">
        <f>E444*3</f>
        <v>136.47</v>
      </c>
      <c r="F447" s="39">
        <f>VLOOKUP(H447,'PROJECT SUMMARY'!$C$26:$D$32,2,0)</f>
        <v>0.05</v>
      </c>
      <c r="G447" s="31">
        <f t="shared" si="353"/>
        <v>143.29349999999999</v>
      </c>
      <c r="H447" s="16" t="s">
        <v>11</v>
      </c>
      <c r="I447" s="62">
        <v>0.04</v>
      </c>
      <c r="J447" s="80">
        <f t="shared" si="358"/>
        <v>5.7317400000000003</v>
      </c>
      <c r="K447" s="23">
        <v>47.5</v>
      </c>
      <c r="L447" s="23">
        <f t="shared" si="359"/>
        <v>272.25765000000001</v>
      </c>
      <c r="M447" s="23">
        <v>1.85</v>
      </c>
      <c r="N447" s="23">
        <f t="shared" si="360"/>
        <v>265.09297500000002</v>
      </c>
      <c r="O447" s="23">
        <f t="shared" si="361"/>
        <v>537.35062500000004</v>
      </c>
      <c r="P447" s="46"/>
    </row>
    <row r="448" spans="1:16" x14ac:dyDescent="0.25">
      <c r="A448" s="60">
        <f>IF(G448&lt;&gt;"",1+MAX($A$13:A447),"")</f>
        <v>304</v>
      </c>
      <c r="C448" s="16" t="s">
        <v>49</v>
      </c>
      <c r="D448" s="59" t="s">
        <v>373</v>
      </c>
      <c r="E448" s="31">
        <f>E444*11</f>
        <v>500.39000000000004</v>
      </c>
      <c r="F448" s="39">
        <f>VLOOKUP(H448,'PROJECT SUMMARY'!$C$26:$D$32,2,0)</f>
        <v>0.05</v>
      </c>
      <c r="G448" s="31">
        <f t="shared" si="353"/>
        <v>525.40950000000009</v>
      </c>
      <c r="H448" s="16" t="s">
        <v>12</v>
      </c>
      <c r="I448" s="62">
        <v>1.2999999999999999E-2</v>
      </c>
      <c r="J448" s="80">
        <f t="shared" si="358"/>
        <v>6.8303235000000013</v>
      </c>
      <c r="K448" s="23">
        <v>47.5</v>
      </c>
      <c r="L448" s="23">
        <f t="shared" si="359"/>
        <v>324.44036625000007</v>
      </c>
      <c r="M448" s="23">
        <v>0.94</v>
      </c>
      <c r="N448" s="23">
        <f t="shared" si="360"/>
        <v>493.88493000000005</v>
      </c>
      <c r="O448" s="23">
        <f t="shared" si="361"/>
        <v>818.32529625000006</v>
      </c>
      <c r="P448" s="46"/>
    </row>
    <row r="449" spans="1:16" x14ac:dyDescent="0.25">
      <c r="A449" s="60">
        <f>IF(G449&lt;&gt;"",1+MAX($A$13:A448),"")</f>
        <v>305</v>
      </c>
      <c r="C449" s="16" t="s">
        <v>49</v>
      </c>
      <c r="D449" s="59" t="s">
        <v>68</v>
      </c>
      <c r="E449" s="31">
        <f>E444*2</f>
        <v>90.98</v>
      </c>
      <c r="F449" s="39">
        <f>VLOOKUP(H449,'PROJECT SUMMARY'!$C$26:$D$32,2,0)</f>
        <v>0.05</v>
      </c>
      <c r="G449" s="31">
        <f t="shared" si="353"/>
        <v>95.529000000000011</v>
      </c>
      <c r="H449" s="16" t="s">
        <v>11</v>
      </c>
      <c r="I449" s="62">
        <v>7.0000000000000001E-3</v>
      </c>
      <c r="J449" s="80">
        <f t="shared" si="358"/>
        <v>0.66870300000000005</v>
      </c>
      <c r="K449" s="23">
        <v>47.5</v>
      </c>
      <c r="L449" s="23">
        <f t="shared" si="359"/>
        <v>31.763392500000002</v>
      </c>
      <c r="M449" s="23">
        <v>0.15</v>
      </c>
      <c r="N449" s="23">
        <f t="shared" si="360"/>
        <v>14.329350000000002</v>
      </c>
      <c r="O449" s="23">
        <f t="shared" si="361"/>
        <v>46.0927425</v>
      </c>
      <c r="P449" s="46"/>
    </row>
    <row r="450" spans="1:16" x14ac:dyDescent="0.25">
      <c r="A450" s="60" t="str">
        <f>IF(G450&lt;&gt;"",1+MAX($A$13:A449),"")</f>
        <v/>
      </c>
      <c r="J450" s="80"/>
      <c r="P450" s="46"/>
    </row>
    <row r="451" spans="1:16" x14ac:dyDescent="0.25">
      <c r="A451" s="60" t="str">
        <f>IF(G451&lt;&gt;"",1+MAX($A$13:A450),"")</f>
        <v/>
      </c>
      <c r="D451" s="58" t="s">
        <v>386</v>
      </c>
      <c r="E451" s="79">
        <v>33.130000000000003</v>
      </c>
      <c r="H451" s="16" t="s">
        <v>11</v>
      </c>
      <c r="J451" s="80"/>
      <c r="P451" s="46"/>
    </row>
    <row r="452" spans="1:16" x14ac:dyDescent="0.25">
      <c r="A452" s="60">
        <f>IF(G452&lt;&gt;"",1+MAX($A$13:A451),"")</f>
        <v>306</v>
      </c>
      <c r="C452" s="16" t="s">
        <v>49</v>
      </c>
      <c r="D452" s="59" t="s">
        <v>124</v>
      </c>
      <c r="E452" s="31">
        <f>E451*11.167/32</f>
        <v>11.5613346875</v>
      </c>
      <c r="F452" s="39">
        <f>VLOOKUP(H452,'PROJECT SUMMARY'!$C$26:$D$32,2,0)</f>
        <v>0</v>
      </c>
      <c r="G452" s="31">
        <f t="shared" ref="G452:G456" si="362">E452*(1+F452)</f>
        <v>11.5613346875</v>
      </c>
      <c r="H452" s="16" t="s">
        <v>10</v>
      </c>
      <c r="I452" s="62">
        <v>0.35</v>
      </c>
      <c r="J452" s="80">
        <f t="shared" ref="J452:J453" si="363">I452*G452</f>
        <v>4.0464671406250003</v>
      </c>
      <c r="K452" s="23">
        <v>47.5</v>
      </c>
      <c r="L452" s="23">
        <f t="shared" ref="L452:L453" si="364">K452*J452</f>
        <v>192.2071891796875</v>
      </c>
      <c r="M452" s="23">
        <v>9.6</v>
      </c>
      <c r="N452" s="23">
        <f t="shared" ref="N452:N453" si="365">M452*G452</f>
        <v>110.98881300000001</v>
      </c>
      <c r="O452" s="23">
        <f t="shared" ref="O452:O453" si="366">L452+N452</f>
        <v>303.19600217968753</v>
      </c>
      <c r="P452" s="46"/>
    </row>
    <row r="453" spans="1:16" x14ac:dyDescent="0.25">
      <c r="A453" s="60">
        <f>IF(G453&lt;&gt;"",1+MAX($A$13:A452),"")</f>
        <v>307</v>
      </c>
      <c r="C453" s="16" t="s">
        <v>49</v>
      </c>
      <c r="D453" s="59" t="s">
        <v>127</v>
      </c>
      <c r="E453" s="31">
        <f>E451/1.33</f>
        <v>24.909774436090228</v>
      </c>
      <c r="F453" s="39">
        <f>VLOOKUP(H453,'PROJECT SUMMARY'!$C$26:$D$32,2,0)</f>
        <v>0</v>
      </c>
      <c r="G453" s="31">
        <f t="shared" si="362"/>
        <v>24.909774436090228</v>
      </c>
      <c r="H453" s="16" t="s">
        <v>10</v>
      </c>
      <c r="I453" s="62">
        <v>4.2000000000000003E-2</v>
      </c>
      <c r="J453" s="80">
        <f t="shared" si="363"/>
        <v>1.0462105263157897</v>
      </c>
      <c r="K453" s="23">
        <v>47.5</v>
      </c>
      <c r="L453" s="23">
        <f t="shared" si="364"/>
        <v>49.695000000000007</v>
      </c>
      <c r="M453" s="23">
        <f>1.85*12</f>
        <v>22.200000000000003</v>
      </c>
      <c r="N453" s="23">
        <f t="shared" si="365"/>
        <v>552.99699248120316</v>
      </c>
      <c r="O453" s="23">
        <f t="shared" si="366"/>
        <v>602.69199248120321</v>
      </c>
      <c r="P453" s="46"/>
    </row>
    <row r="454" spans="1:16" x14ac:dyDescent="0.25">
      <c r="A454" s="60">
        <f>IF(G454&lt;&gt;"",1+MAX($A$13:A453),"")</f>
        <v>308</v>
      </c>
      <c r="C454" s="16" t="s">
        <v>49</v>
      </c>
      <c r="D454" s="59" t="s">
        <v>126</v>
      </c>
      <c r="E454" s="31">
        <f>E451*3</f>
        <v>99.390000000000015</v>
      </c>
      <c r="F454" s="39">
        <f>VLOOKUP(H454,'PROJECT SUMMARY'!$C$26:$D$32,2,0)</f>
        <v>0.05</v>
      </c>
      <c r="G454" s="31">
        <f t="shared" si="362"/>
        <v>104.35950000000003</v>
      </c>
      <c r="H454" s="16" t="s">
        <v>11</v>
      </c>
      <c r="I454" s="62">
        <v>0.04</v>
      </c>
      <c r="J454" s="80">
        <f t="shared" ref="J454:J456" si="367">I454*G454</f>
        <v>4.1743800000000011</v>
      </c>
      <c r="K454" s="23">
        <v>47.5</v>
      </c>
      <c r="L454" s="23">
        <f t="shared" ref="L454:L456" si="368">K454*J454</f>
        <v>198.28305000000006</v>
      </c>
      <c r="M454" s="23">
        <v>1.85</v>
      </c>
      <c r="N454" s="23">
        <f t="shared" ref="N454:N456" si="369">M454*G454</f>
        <v>193.06507500000006</v>
      </c>
      <c r="O454" s="23">
        <f t="shared" ref="O454:O456" si="370">L454+N454</f>
        <v>391.3481250000001</v>
      </c>
      <c r="P454" s="46"/>
    </row>
    <row r="455" spans="1:16" x14ac:dyDescent="0.25">
      <c r="A455" s="60">
        <f>IF(G455&lt;&gt;"",1+MAX($A$13:A454),"")</f>
        <v>309</v>
      </c>
      <c r="C455" s="16" t="s">
        <v>49</v>
      </c>
      <c r="D455" s="59" t="s">
        <v>373</v>
      </c>
      <c r="E455" s="31">
        <f>E451*11.167</f>
        <v>369.96271000000002</v>
      </c>
      <c r="F455" s="39">
        <f>VLOOKUP(H455,'PROJECT SUMMARY'!$C$26:$D$32,2,0)</f>
        <v>0.05</v>
      </c>
      <c r="G455" s="31">
        <f t="shared" si="362"/>
        <v>388.4608455</v>
      </c>
      <c r="H455" s="16" t="s">
        <v>12</v>
      </c>
      <c r="I455" s="62">
        <v>1.2999999999999999E-2</v>
      </c>
      <c r="J455" s="80">
        <f t="shared" si="367"/>
        <v>5.0499909914999996</v>
      </c>
      <c r="K455" s="23">
        <v>47.5</v>
      </c>
      <c r="L455" s="23">
        <f t="shared" si="368"/>
        <v>239.87457209624998</v>
      </c>
      <c r="M455" s="23">
        <v>0.94</v>
      </c>
      <c r="N455" s="23">
        <f t="shared" si="369"/>
        <v>365.15319476999997</v>
      </c>
      <c r="O455" s="23">
        <f t="shared" si="370"/>
        <v>605.02776686624998</v>
      </c>
      <c r="P455" s="46"/>
    </row>
    <row r="456" spans="1:16" x14ac:dyDescent="0.25">
      <c r="A456" s="60">
        <f>IF(G456&lt;&gt;"",1+MAX($A$13:A455),"")</f>
        <v>310</v>
      </c>
      <c r="C456" s="16" t="s">
        <v>49</v>
      </c>
      <c r="D456" s="59" t="s">
        <v>68</v>
      </c>
      <c r="E456" s="31">
        <f>E451*2</f>
        <v>66.260000000000005</v>
      </c>
      <c r="F456" s="39">
        <f>VLOOKUP(H456,'PROJECT SUMMARY'!$C$26:$D$32,2,0)</f>
        <v>0.05</v>
      </c>
      <c r="G456" s="31">
        <f t="shared" si="362"/>
        <v>69.573000000000008</v>
      </c>
      <c r="H456" s="16" t="s">
        <v>11</v>
      </c>
      <c r="I456" s="62">
        <v>7.0000000000000001E-3</v>
      </c>
      <c r="J456" s="80">
        <f t="shared" si="367"/>
        <v>0.48701100000000008</v>
      </c>
      <c r="K456" s="23">
        <v>47.5</v>
      </c>
      <c r="L456" s="23">
        <f t="shared" si="368"/>
        <v>23.133022500000003</v>
      </c>
      <c r="M456" s="23">
        <v>0.15</v>
      </c>
      <c r="N456" s="23">
        <f t="shared" si="369"/>
        <v>10.43595</v>
      </c>
      <c r="O456" s="23">
        <f t="shared" si="370"/>
        <v>33.568972500000001</v>
      </c>
      <c r="P456" s="46"/>
    </row>
    <row r="457" spans="1:16" x14ac:dyDescent="0.25">
      <c r="A457" s="60" t="str">
        <f>IF(G457&lt;&gt;"",1+MAX($A$13:A456),"")</f>
        <v/>
      </c>
      <c r="J457" s="80"/>
      <c r="P457" s="46"/>
    </row>
    <row r="458" spans="1:16" x14ac:dyDescent="0.25">
      <c r="A458" s="60" t="str">
        <f>IF(G458&lt;&gt;"",1+MAX($A$13:A457),"")</f>
        <v/>
      </c>
      <c r="D458" s="58" t="s">
        <v>387</v>
      </c>
      <c r="E458" s="79">
        <v>59.84</v>
      </c>
      <c r="H458" s="16" t="s">
        <v>11</v>
      </c>
      <c r="J458" s="80"/>
      <c r="P458" s="46"/>
    </row>
    <row r="459" spans="1:16" x14ac:dyDescent="0.25">
      <c r="A459" s="60">
        <f>IF(G459&lt;&gt;"",1+MAX($A$13:A458),"")</f>
        <v>311</v>
      </c>
      <c r="C459" s="16" t="s">
        <v>49</v>
      </c>
      <c r="D459" s="59" t="s">
        <v>124</v>
      </c>
      <c r="E459" s="31">
        <f>E458*11.33/32</f>
        <v>21.187100000000001</v>
      </c>
      <c r="F459" s="39">
        <f>VLOOKUP(H459,'PROJECT SUMMARY'!$C$26:$D$32,2,0)</f>
        <v>0</v>
      </c>
      <c r="G459" s="31">
        <f t="shared" ref="G459:G463" si="371">E459*(1+F459)</f>
        <v>21.187100000000001</v>
      </c>
      <c r="H459" s="16" t="s">
        <v>10</v>
      </c>
      <c r="I459" s="62">
        <v>0.35</v>
      </c>
      <c r="J459" s="80">
        <f t="shared" ref="J459:J460" si="372">I459*G459</f>
        <v>7.4154849999999994</v>
      </c>
      <c r="K459" s="23">
        <v>47.5</v>
      </c>
      <c r="L459" s="23">
        <f t="shared" ref="L459:L460" si="373">K459*J459</f>
        <v>352.23553749999996</v>
      </c>
      <c r="M459" s="23">
        <v>9.6</v>
      </c>
      <c r="N459" s="23">
        <f t="shared" ref="N459:N460" si="374">M459*G459</f>
        <v>203.39616000000001</v>
      </c>
      <c r="O459" s="23">
        <f t="shared" ref="O459:O460" si="375">L459+N459</f>
        <v>555.63169749999997</v>
      </c>
      <c r="P459" s="46"/>
    </row>
    <row r="460" spans="1:16" x14ac:dyDescent="0.25">
      <c r="A460" s="60">
        <f>IF(G460&lt;&gt;"",1+MAX($A$13:A459),"")</f>
        <v>312</v>
      </c>
      <c r="C460" s="16" t="s">
        <v>49</v>
      </c>
      <c r="D460" s="59" t="s">
        <v>127</v>
      </c>
      <c r="E460" s="31">
        <f>E458/1.33</f>
        <v>44.992481203007522</v>
      </c>
      <c r="F460" s="39">
        <f>VLOOKUP(H460,'PROJECT SUMMARY'!$C$26:$D$32,2,0)</f>
        <v>0</v>
      </c>
      <c r="G460" s="31">
        <f t="shared" si="371"/>
        <v>44.992481203007522</v>
      </c>
      <c r="H460" s="16" t="s">
        <v>10</v>
      </c>
      <c r="I460" s="62">
        <v>4.2000000000000003E-2</v>
      </c>
      <c r="J460" s="80">
        <f t="shared" si="372"/>
        <v>1.8896842105263161</v>
      </c>
      <c r="K460" s="23">
        <v>47.5</v>
      </c>
      <c r="L460" s="23">
        <f t="shared" si="373"/>
        <v>89.760000000000019</v>
      </c>
      <c r="M460" s="23">
        <f>1.85*12</f>
        <v>22.200000000000003</v>
      </c>
      <c r="N460" s="23">
        <f t="shared" si="374"/>
        <v>998.83308270676707</v>
      </c>
      <c r="O460" s="23">
        <f t="shared" si="375"/>
        <v>1088.5930827067671</v>
      </c>
      <c r="P460" s="46"/>
    </row>
    <row r="461" spans="1:16" x14ac:dyDescent="0.25">
      <c r="A461" s="60">
        <f>IF(G461&lt;&gt;"",1+MAX($A$13:A460),"")</f>
        <v>313</v>
      </c>
      <c r="C461" s="16" t="s">
        <v>49</v>
      </c>
      <c r="D461" s="59" t="s">
        <v>126</v>
      </c>
      <c r="E461" s="31">
        <f>E458*3</f>
        <v>179.52</v>
      </c>
      <c r="F461" s="39">
        <f>VLOOKUP(H461,'PROJECT SUMMARY'!$C$26:$D$32,2,0)</f>
        <v>0.05</v>
      </c>
      <c r="G461" s="31">
        <f t="shared" si="371"/>
        <v>188.49600000000001</v>
      </c>
      <c r="H461" s="16" t="s">
        <v>11</v>
      </c>
      <c r="I461" s="62">
        <v>0.04</v>
      </c>
      <c r="J461" s="80">
        <f t="shared" ref="J461:J463" si="376">I461*G461</f>
        <v>7.5398400000000008</v>
      </c>
      <c r="K461" s="23">
        <v>47.5</v>
      </c>
      <c r="L461" s="23">
        <f t="shared" ref="L461:L463" si="377">K461*J461</f>
        <v>358.14240000000001</v>
      </c>
      <c r="M461" s="23">
        <v>1.85</v>
      </c>
      <c r="N461" s="23">
        <f t="shared" ref="N461:N463" si="378">M461*G461</f>
        <v>348.71760000000006</v>
      </c>
      <c r="O461" s="23">
        <f t="shared" ref="O461:O463" si="379">L461+N461</f>
        <v>706.86000000000013</v>
      </c>
      <c r="P461" s="46"/>
    </row>
    <row r="462" spans="1:16" x14ac:dyDescent="0.25">
      <c r="A462" s="60">
        <f>IF(G462&lt;&gt;"",1+MAX($A$13:A461),"")</f>
        <v>314</v>
      </c>
      <c r="C462" s="16" t="s">
        <v>49</v>
      </c>
      <c r="D462" s="59" t="s">
        <v>373</v>
      </c>
      <c r="E462" s="31">
        <f>E458*11.33</f>
        <v>677.98720000000003</v>
      </c>
      <c r="F462" s="39">
        <f>VLOOKUP(H462,'PROJECT SUMMARY'!$C$26:$D$32,2,0)</f>
        <v>0.05</v>
      </c>
      <c r="G462" s="31">
        <f t="shared" si="371"/>
        <v>711.88656000000003</v>
      </c>
      <c r="H462" s="16" t="s">
        <v>12</v>
      </c>
      <c r="I462" s="62">
        <v>1.2999999999999999E-2</v>
      </c>
      <c r="J462" s="80">
        <f t="shared" si="376"/>
        <v>9.2545252799999993</v>
      </c>
      <c r="K462" s="23">
        <v>47.5</v>
      </c>
      <c r="L462" s="23">
        <f t="shared" si="377"/>
        <v>439.58995079999994</v>
      </c>
      <c r="M462" s="23">
        <v>0.94</v>
      </c>
      <c r="N462" s="23">
        <f t="shared" si="378"/>
        <v>669.17336639999996</v>
      </c>
      <c r="O462" s="23">
        <f t="shared" si="379"/>
        <v>1108.7633171999998</v>
      </c>
      <c r="P462" s="46"/>
    </row>
    <row r="463" spans="1:16" x14ac:dyDescent="0.25">
      <c r="A463" s="60">
        <f>IF(G463&lt;&gt;"",1+MAX($A$13:A462),"")</f>
        <v>315</v>
      </c>
      <c r="C463" s="16" t="s">
        <v>49</v>
      </c>
      <c r="D463" s="59" t="s">
        <v>68</v>
      </c>
      <c r="E463" s="31">
        <f>E458*2</f>
        <v>119.68</v>
      </c>
      <c r="F463" s="39">
        <f>VLOOKUP(H463,'PROJECT SUMMARY'!$C$26:$D$32,2,0)</f>
        <v>0.05</v>
      </c>
      <c r="G463" s="31">
        <f t="shared" si="371"/>
        <v>125.66400000000002</v>
      </c>
      <c r="H463" s="16" t="s">
        <v>11</v>
      </c>
      <c r="I463" s="62">
        <v>7.0000000000000001E-3</v>
      </c>
      <c r="J463" s="80">
        <f t="shared" si="376"/>
        <v>0.8796480000000001</v>
      </c>
      <c r="K463" s="23">
        <v>47.5</v>
      </c>
      <c r="L463" s="23">
        <f t="shared" si="377"/>
        <v>41.783280000000005</v>
      </c>
      <c r="M463" s="23">
        <v>0.15</v>
      </c>
      <c r="N463" s="23">
        <f t="shared" si="378"/>
        <v>18.849600000000002</v>
      </c>
      <c r="O463" s="23">
        <f t="shared" si="379"/>
        <v>60.632880000000007</v>
      </c>
      <c r="P463" s="46"/>
    </row>
    <row r="464" spans="1:16" x14ac:dyDescent="0.25">
      <c r="A464" s="60" t="str">
        <f>IF(G464&lt;&gt;"",1+MAX($A$13:A463),"")</f>
        <v/>
      </c>
      <c r="J464" s="80"/>
      <c r="P464" s="46"/>
    </row>
    <row r="465" spans="1:16" x14ac:dyDescent="0.25">
      <c r="A465" s="60" t="str">
        <f>IF(G465&lt;&gt;"",1+MAX($A$13:A464),"")</f>
        <v/>
      </c>
      <c r="D465" s="58" t="s">
        <v>388</v>
      </c>
      <c r="E465" s="79">
        <v>13.21</v>
      </c>
      <c r="H465" s="16" t="s">
        <v>11</v>
      </c>
      <c r="J465" s="80"/>
      <c r="P465" s="46"/>
    </row>
    <row r="466" spans="1:16" x14ac:dyDescent="0.25">
      <c r="A466" s="60">
        <f>IF(G466&lt;&gt;"",1+MAX($A$13:A465),"")</f>
        <v>316</v>
      </c>
      <c r="C466" s="16" t="s">
        <v>49</v>
      </c>
      <c r="D466" s="59" t="s">
        <v>130</v>
      </c>
      <c r="E466" s="31">
        <f>E465*11.33/32</f>
        <v>4.6771656250000007</v>
      </c>
      <c r="F466" s="39">
        <f>VLOOKUP(H466,'PROJECT SUMMARY'!$C$26:$D$32,2,0)</f>
        <v>0</v>
      </c>
      <c r="G466" s="31">
        <f t="shared" ref="G466:G470" si="380">E466*(1+F466)</f>
        <v>4.6771656250000007</v>
      </c>
      <c r="H466" s="16" t="s">
        <v>10</v>
      </c>
      <c r="I466" s="62">
        <v>0.35</v>
      </c>
      <c r="J466" s="80">
        <f t="shared" ref="J466:J467" si="381">I466*G466</f>
        <v>1.6370079687500001</v>
      </c>
      <c r="K466" s="23">
        <v>47.5</v>
      </c>
      <c r="L466" s="23">
        <f t="shared" ref="L466:L467" si="382">K466*J466</f>
        <v>77.757878515625009</v>
      </c>
      <c r="M466" s="23">
        <v>11</v>
      </c>
      <c r="N466" s="23">
        <f t="shared" ref="N466:N467" si="383">M466*G466</f>
        <v>51.448821875000007</v>
      </c>
      <c r="O466" s="23">
        <f t="shared" ref="O466:O467" si="384">L466+N466</f>
        <v>129.20670039062503</v>
      </c>
      <c r="P466" s="46"/>
    </row>
    <row r="467" spans="1:16" x14ac:dyDescent="0.25">
      <c r="A467" s="60">
        <f>IF(G467&lt;&gt;"",1+MAX($A$13:A466),"")</f>
        <v>317</v>
      </c>
      <c r="C467" s="16" t="s">
        <v>49</v>
      </c>
      <c r="D467" s="59" t="s">
        <v>127</v>
      </c>
      <c r="E467" s="31">
        <f>E465/1.33</f>
        <v>9.9323308270676698</v>
      </c>
      <c r="F467" s="39">
        <f>VLOOKUP(H467,'PROJECT SUMMARY'!$C$26:$D$32,2,0)</f>
        <v>0</v>
      </c>
      <c r="G467" s="31">
        <f t="shared" si="380"/>
        <v>9.9323308270676698</v>
      </c>
      <c r="H467" s="16" t="s">
        <v>10</v>
      </c>
      <c r="I467" s="62">
        <v>4.2000000000000003E-2</v>
      </c>
      <c r="J467" s="80">
        <f t="shared" si="381"/>
        <v>0.41715789473684217</v>
      </c>
      <c r="K467" s="23">
        <v>47.5</v>
      </c>
      <c r="L467" s="23">
        <f t="shared" si="382"/>
        <v>19.815000000000005</v>
      </c>
      <c r="M467" s="23">
        <f>1.85*12</f>
        <v>22.200000000000003</v>
      </c>
      <c r="N467" s="23">
        <f t="shared" si="383"/>
        <v>220.49774436090229</v>
      </c>
      <c r="O467" s="23">
        <f t="shared" si="384"/>
        <v>240.31274436090229</v>
      </c>
      <c r="P467" s="46"/>
    </row>
    <row r="468" spans="1:16" x14ac:dyDescent="0.25">
      <c r="A468" s="60">
        <f>IF(G468&lt;&gt;"",1+MAX($A$13:A467),"")</f>
        <v>318</v>
      </c>
      <c r="C468" s="16" t="s">
        <v>49</v>
      </c>
      <c r="D468" s="59" t="s">
        <v>126</v>
      </c>
      <c r="E468" s="31">
        <f>E465*3</f>
        <v>39.630000000000003</v>
      </c>
      <c r="F468" s="39">
        <f>VLOOKUP(H468,'PROJECT SUMMARY'!$C$26:$D$32,2,0)</f>
        <v>0.05</v>
      </c>
      <c r="G468" s="31">
        <f t="shared" si="380"/>
        <v>41.611500000000007</v>
      </c>
      <c r="H468" s="16" t="s">
        <v>11</v>
      </c>
      <c r="I468" s="62">
        <v>0.04</v>
      </c>
      <c r="J468" s="80">
        <f t="shared" ref="J468:J470" si="385">I468*G468</f>
        <v>1.6644600000000003</v>
      </c>
      <c r="K468" s="23">
        <v>47.5</v>
      </c>
      <c r="L468" s="23">
        <f t="shared" ref="L468:L470" si="386">K468*J468</f>
        <v>79.061850000000007</v>
      </c>
      <c r="M468" s="23">
        <v>1.85</v>
      </c>
      <c r="N468" s="23">
        <f t="shared" ref="N468:N470" si="387">M468*G468</f>
        <v>76.981275000000011</v>
      </c>
      <c r="O468" s="23">
        <f t="shared" ref="O468:O470" si="388">L468+N468</f>
        <v>156.04312500000003</v>
      </c>
      <c r="P468" s="46"/>
    </row>
    <row r="469" spans="1:16" x14ac:dyDescent="0.25">
      <c r="A469" s="60">
        <f>IF(G469&lt;&gt;"",1+MAX($A$13:A468),"")</f>
        <v>319</v>
      </c>
      <c r="C469" s="16" t="s">
        <v>49</v>
      </c>
      <c r="D469" s="59" t="s">
        <v>373</v>
      </c>
      <c r="E469" s="31">
        <f>E465*11.33</f>
        <v>149.66930000000002</v>
      </c>
      <c r="F469" s="39">
        <f>VLOOKUP(H469,'PROJECT SUMMARY'!$C$26:$D$32,2,0)</f>
        <v>0.05</v>
      </c>
      <c r="G469" s="31">
        <f t="shared" si="380"/>
        <v>157.15276500000002</v>
      </c>
      <c r="H469" s="16" t="s">
        <v>12</v>
      </c>
      <c r="I469" s="62">
        <v>1.2999999999999999E-2</v>
      </c>
      <c r="J469" s="80">
        <f t="shared" si="385"/>
        <v>2.0429859450000003</v>
      </c>
      <c r="K469" s="23">
        <v>47.5</v>
      </c>
      <c r="L469" s="23">
        <f t="shared" si="386"/>
        <v>97.041832387500008</v>
      </c>
      <c r="M469" s="23">
        <v>0.94</v>
      </c>
      <c r="N469" s="23">
        <f t="shared" si="387"/>
        <v>147.7235991</v>
      </c>
      <c r="O469" s="23">
        <f t="shared" si="388"/>
        <v>244.7654314875</v>
      </c>
      <c r="P469" s="46"/>
    </row>
    <row r="470" spans="1:16" x14ac:dyDescent="0.25">
      <c r="A470" s="60">
        <f>IF(G470&lt;&gt;"",1+MAX($A$13:A469),"")</f>
        <v>320</v>
      </c>
      <c r="C470" s="16" t="s">
        <v>49</v>
      </c>
      <c r="D470" s="59" t="s">
        <v>68</v>
      </c>
      <c r="E470" s="31">
        <f>E465*2</f>
        <v>26.42</v>
      </c>
      <c r="F470" s="39">
        <f>VLOOKUP(H470,'PROJECT SUMMARY'!$C$26:$D$32,2,0)</f>
        <v>0.05</v>
      </c>
      <c r="G470" s="31">
        <f t="shared" si="380"/>
        <v>27.741000000000003</v>
      </c>
      <c r="H470" s="16" t="s">
        <v>11</v>
      </c>
      <c r="I470" s="62">
        <v>7.0000000000000001E-3</v>
      </c>
      <c r="J470" s="80">
        <f t="shared" si="385"/>
        <v>0.19418700000000003</v>
      </c>
      <c r="K470" s="23">
        <v>47.5</v>
      </c>
      <c r="L470" s="23">
        <f t="shared" si="386"/>
        <v>9.223882500000002</v>
      </c>
      <c r="M470" s="23">
        <v>0.15</v>
      </c>
      <c r="N470" s="23">
        <f t="shared" si="387"/>
        <v>4.1611500000000001</v>
      </c>
      <c r="O470" s="23">
        <f t="shared" si="388"/>
        <v>13.385032500000001</v>
      </c>
      <c r="P470" s="46"/>
    </row>
    <row r="471" spans="1:16" x14ac:dyDescent="0.25">
      <c r="A471" s="60" t="str">
        <f>IF(G471&lt;&gt;"",1+MAX($A$13:A470),"")</f>
        <v/>
      </c>
      <c r="J471" s="80"/>
      <c r="P471" s="46"/>
    </row>
    <row r="472" spans="1:16" x14ac:dyDescent="0.25">
      <c r="A472" s="60" t="str">
        <f>IF(G472&lt;&gt;"",1+MAX($A$13:A471),"")</f>
        <v/>
      </c>
      <c r="D472" s="58" t="s">
        <v>389</v>
      </c>
      <c r="E472" s="79">
        <v>32.65</v>
      </c>
      <c r="H472" s="16" t="s">
        <v>11</v>
      </c>
      <c r="J472" s="80"/>
      <c r="P472" s="46"/>
    </row>
    <row r="473" spans="1:16" x14ac:dyDescent="0.25">
      <c r="A473" s="60">
        <f>IF(G473&lt;&gt;"",1+MAX($A$13:A472),"")</f>
        <v>321</v>
      </c>
      <c r="C473" s="16" t="s">
        <v>49</v>
      </c>
      <c r="D473" s="59" t="s">
        <v>124</v>
      </c>
      <c r="E473" s="31">
        <f>E472*11.4167/32</f>
        <v>11.648601718749999</v>
      </c>
      <c r="F473" s="39">
        <f>VLOOKUP(H473,'PROJECT SUMMARY'!$C$26:$D$32,2,0)</f>
        <v>0</v>
      </c>
      <c r="G473" s="31">
        <f t="shared" ref="G473:G477" si="389">E473*(1+F473)</f>
        <v>11.648601718749999</v>
      </c>
      <c r="H473" s="16" t="s">
        <v>10</v>
      </c>
      <c r="I473" s="62">
        <v>0.35</v>
      </c>
      <c r="J473" s="80">
        <f t="shared" ref="J473:J474" si="390">I473*G473</f>
        <v>4.0770106015624998</v>
      </c>
      <c r="K473" s="23">
        <v>47.5</v>
      </c>
      <c r="L473" s="23">
        <f t="shared" ref="L473:L474" si="391">K473*J473</f>
        <v>193.65800357421875</v>
      </c>
      <c r="M473" s="23">
        <v>9.6</v>
      </c>
      <c r="N473" s="23">
        <f t="shared" ref="N473:N474" si="392">M473*G473</f>
        <v>111.82657649999999</v>
      </c>
      <c r="O473" s="23">
        <f t="shared" ref="O473:O474" si="393">L473+N473</f>
        <v>305.48458007421874</v>
      </c>
      <c r="P473" s="46"/>
    </row>
    <row r="474" spans="1:16" x14ac:dyDescent="0.25">
      <c r="A474" s="60">
        <f>IF(G474&lt;&gt;"",1+MAX($A$13:A473),"")</f>
        <v>322</v>
      </c>
      <c r="C474" s="16" t="s">
        <v>49</v>
      </c>
      <c r="D474" s="59" t="s">
        <v>127</v>
      </c>
      <c r="E474" s="31">
        <f>E472/1.33</f>
        <v>24.548872180451127</v>
      </c>
      <c r="F474" s="39">
        <f>VLOOKUP(H474,'PROJECT SUMMARY'!$C$26:$D$32,2,0)</f>
        <v>0</v>
      </c>
      <c r="G474" s="31">
        <f t="shared" si="389"/>
        <v>24.548872180451127</v>
      </c>
      <c r="H474" s="16" t="s">
        <v>10</v>
      </c>
      <c r="I474" s="62">
        <v>4.2000000000000003E-2</v>
      </c>
      <c r="J474" s="80">
        <f t="shared" si="390"/>
        <v>1.0310526315789474</v>
      </c>
      <c r="K474" s="23">
        <v>47.5</v>
      </c>
      <c r="L474" s="23">
        <f t="shared" si="391"/>
        <v>48.975000000000001</v>
      </c>
      <c r="M474" s="23">
        <f>1.85*12</f>
        <v>22.200000000000003</v>
      </c>
      <c r="N474" s="23">
        <f t="shared" si="392"/>
        <v>544.98496240601514</v>
      </c>
      <c r="O474" s="23">
        <f t="shared" si="393"/>
        <v>593.95996240601517</v>
      </c>
      <c r="P474" s="46"/>
    </row>
    <row r="475" spans="1:16" x14ac:dyDescent="0.25">
      <c r="A475" s="60">
        <f>IF(G475&lt;&gt;"",1+MAX($A$13:A474),"")</f>
        <v>323</v>
      </c>
      <c r="C475" s="16" t="s">
        <v>49</v>
      </c>
      <c r="D475" s="59" t="s">
        <v>126</v>
      </c>
      <c r="E475" s="31">
        <f>E472*3</f>
        <v>97.949999999999989</v>
      </c>
      <c r="F475" s="39">
        <f>VLOOKUP(H475,'PROJECT SUMMARY'!$C$26:$D$32,2,0)</f>
        <v>0.05</v>
      </c>
      <c r="G475" s="31">
        <f t="shared" si="389"/>
        <v>102.8475</v>
      </c>
      <c r="H475" s="16" t="s">
        <v>11</v>
      </c>
      <c r="I475" s="62">
        <v>0.04</v>
      </c>
      <c r="J475" s="80">
        <f t="shared" ref="J475:J477" si="394">I475*G475</f>
        <v>4.1139000000000001</v>
      </c>
      <c r="K475" s="23">
        <v>47.5</v>
      </c>
      <c r="L475" s="23">
        <f t="shared" ref="L475:L477" si="395">K475*J475</f>
        <v>195.41025000000002</v>
      </c>
      <c r="M475" s="23">
        <v>1.85</v>
      </c>
      <c r="N475" s="23">
        <f t="shared" ref="N475:N477" si="396">M475*G475</f>
        <v>190.267875</v>
      </c>
      <c r="O475" s="23">
        <f t="shared" ref="O475:O477" si="397">L475+N475</f>
        <v>385.67812500000002</v>
      </c>
      <c r="P475" s="46"/>
    </row>
    <row r="476" spans="1:16" x14ac:dyDescent="0.25">
      <c r="A476" s="60">
        <f>IF(G476&lt;&gt;"",1+MAX($A$13:A475),"")</f>
        <v>324</v>
      </c>
      <c r="C476" s="16" t="s">
        <v>49</v>
      </c>
      <c r="D476" s="59" t="s">
        <v>373</v>
      </c>
      <c r="E476" s="31">
        <f>E472*11.4167</f>
        <v>372.75525499999998</v>
      </c>
      <c r="F476" s="39">
        <f>VLOOKUP(H476,'PROJECT SUMMARY'!$C$26:$D$32,2,0)</f>
        <v>0.05</v>
      </c>
      <c r="G476" s="31">
        <f t="shared" si="389"/>
        <v>391.39301775000001</v>
      </c>
      <c r="H476" s="16" t="s">
        <v>12</v>
      </c>
      <c r="I476" s="62">
        <v>1.2999999999999999E-2</v>
      </c>
      <c r="J476" s="80">
        <f t="shared" si="394"/>
        <v>5.0881092307499998</v>
      </c>
      <c r="K476" s="23">
        <v>47.5</v>
      </c>
      <c r="L476" s="23">
        <f t="shared" si="395"/>
        <v>241.685188460625</v>
      </c>
      <c r="M476" s="23">
        <v>0.94</v>
      </c>
      <c r="N476" s="23">
        <f t="shared" si="396"/>
        <v>367.909436685</v>
      </c>
      <c r="O476" s="23">
        <f t="shared" si="397"/>
        <v>609.59462514562506</v>
      </c>
      <c r="P476" s="46"/>
    </row>
    <row r="477" spans="1:16" x14ac:dyDescent="0.25">
      <c r="A477" s="60">
        <f>IF(G477&lt;&gt;"",1+MAX($A$13:A476),"")</f>
        <v>325</v>
      </c>
      <c r="C477" s="16" t="s">
        <v>49</v>
      </c>
      <c r="D477" s="59" t="s">
        <v>68</v>
      </c>
      <c r="E477" s="31">
        <f>E472*2</f>
        <v>65.3</v>
      </c>
      <c r="F477" s="39">
        <f>VLOOKUP(H477,'PROJECT SUMMARY'!$C$26:$D$32,2,0)</f>
        <v>0.05</v>
      </c>
      <c r="G477" s="31">
        <f t="shared" si="389"/>
        <v>68.564999999999998</v>
      </c>
      <c r="H477" s="16" t="s">
        <v>11</v>
      </c>
      <c r="I477" s="62">
        <v>7.0000000000000001E-3</v>
      </c>
      <c r="J477" s="80">
        <f t="shared" si="394"/>
        <v>0.47995500000000002</v>
      </c>
      <c r="K477" s="23">
        <v>47.5</v>
      </c>
      <c r="L477" s="23">
        <f t="shared" si="395"/>
        <v>22.797862500000001</v>
      </c>
      <c r="M477" s="23">
        <v>0.15</v>
      </c>
      <c r="N477" s="23">
        <f t="shared" si="396"/>
        <v>10.284749999999999</v>
      </c>
      <c r="O477" s="23">
        <f t="shared" si="397"/>
        <v>33.082612499999996</v>
      </c>
      <c r="P477" s="46"/>
    </row>
    <row r="478" spans="1:16" x14ac:dyDescent="0.25">
      <c r="A478" s="60" t="str">
        <f>IF(G478&lt;&gt;"",1+MAX($A$13:A477),"")</f>
        <v/>
      </c>
      <c r="J478" s="80"/>
      <c r="P478" s="46"/>
    </row>
    <row r="479" spans="1:16" x14ac:dyDescent="0.25">
      <c r="A479" s="60" t="str">
        <f>IF(G479&lt;&gt;"",1+MAX($A$13:A478),"")</f>
        <v/>
      </c>
      <c r="D479" s="58" t="s">
        <v>390</v>
      </c>
      <c r="E479" s="79">
        <v>11.66</v>
      </c>
      <c r="H479" s="16" t="s">
        <v>11</v>
      </c>
      <c r="J479" s="80"/>
      <c r="P479" s="46"/>
    </row>
    <row r="480" spans="1:16" x14ac:dyDescent="0.25">
      <c r="A480" s="60">
        <f>IF(G480&lt;&gt;"",1+MAX($A$13:A479),"")</f>
        <v>326</v>
      </c>
      <c r="C480" s="16" t="s">
        <v>49</v>
      </c>
      <c r="D480" s="59" t="s">
        <v>125</v>
      </c>
      <c r="E480" s="31">
        <f>E479/1.33</f>
        <v>8.7669172932330817</v>
      </c>
      <c r="F480" s="39">
        <f>VLOOKUP(H480,'PROJECT SUMMARY'!$C$26:$D$32,2,0)</f>
        <v>0</v>
      </c>
      <c r="G480" s="31">
        <f t="shared" ref="G480:G482" si="398">E480*(1+F480)</f>
        <v>8.7669172932330817</v>
      </c>
      <c r="H480" s="16" t="s">
        <v>10</v>
      </c>
      <c r="I480" s="62">
        <v>3.2000000000000001E-2</v>
      </c>
      <c r="J480" s="80">
        <v>1.2547368421052632</v>
      </c>
      <c r="K480" s="23">
        <v>47.5</v>
      </c>
      <c r="L480" s="23">
        <v>59.6</v>
      </c>
      <c r="M480" s="23">
        <v>18.5</v>
      </c>
      <c r="N480" s="23">
        <v>725.3947368421052</v>
      </c>
      <c r="O480" s="23">
        <v>784.99473684210523</v>
      </c>
      <c r="P480" s="46"/>
    </row>
    <row r="481" spans="1:16" x14ac:dyDescent="0.25">
      <c r="A481" s="60">
        <f>IF(G481&lt;&gt;"",1+MAX($A$13:A480),"")</f>
        <v>327</v>
      </c>
      <c r="C481" s="16" t="s">
        <v>49</v>
      </c>
      <c r="D481" s="59" t="s">
        <v>126</v>
      </c>
      <c r="E481" s="31">
        <f>E479*3</f>
        <v>34.980000000000004</v>
      </c>
      <c r="F481" s="39">
        <f>VLOOKUP(H481,'PROJECT SUMMARY'!$C$26:$D$32,2,0)</f>
        <v>0.05</v>
      </c>
      <c r="G481" s="31">
        <f t="shared" si="398"/>
        <v>36.729000000000006</v>
      </c>
      <c r="H481" s="16" t="s">
        <v>11</v>
      </c>
      <c r="I481" s="62">
        <v>0.04</v>
      </c>
      <c r="J481" s="80">
        <f t="shared" ref="J481:J482" si="399">I481*G481</f>
        <v>1.4691600000000002</v>
      </c>
      <c r="K481" s="23">
        <v>47.5</v>
      </c>
      <c r="L481" s="23">
        <f t="shared" ref="L481:L482" si="400">K481*J481</f>
        <v>69.785100000000014</v>
      </c>
      <c r="M481" s="23">
        <v>1.85</v>
      </c>
      <c r="N481" s="23">
        <f t="shared" ref="N481:N482" si="401">M481*G481</f>
        <v>67.948650000000015</v>
      </c>
      <c r="O481" s="23">
        <f t="shared" ref="O481:O482" si="402">L481+N481</f>
        <v>137.73375000000004</v>
      </c>
      <c r="P481" s="46"/>
    </row>
    <row r="482" spans="1:16" x14ac:dyDescent="0.25">
      <c r="A482" s="60">
        <f>IF(G482&lt;&gt;"",1+MAX($A$13:A481),"")</f>
        <v>328</v>
      </c>
      <c r="C482" s="16" t="s">
        <v>49</v>
      </c>
      <c r="D482" s="59" t="s">
        <v>68</v>
      </c>
      <c r="E482" s="31">
        <f>E479*2</f>
        <v>23.32</v>
      </c>
      <c r="F482" s="39">
        <f>VLOOKUP(H482,'PROJECT SUMMARY'!$C$26:$D$32,2,0)</f>
        <v>0.05</v>
      </c>
      <c r="G482" s="31">
        <f t="shared" si="398"/>
        <v>24.486000000000001</v>
      </c>
      <c r="H482" s="16" t="s">
        <v>11</v>
      </c>
      <c r="I482" s="62">
        <v>7.0000000000000001E-3</v>
      </c>
      <c r="J482" s="80">
        <f t="shared" si="399"/>
        <v>0.171402</v>
      </c>
      <c r="K482" s="23">
        <v>47.5</v>
      </c>
      <c r="L482" s="23">
        <f t="shared" si="400"/>
        <v>8.1415950000000006</v>
      </c>
      <c r="M482" s="23">
        <v>0.15</v>
      </c>
      <c r="N482" s="23">
        <f t="shared" si="401"/>
        <v>3.6728999999999998</v>
      </c>
      <c r="O482" s="23">
        <f t="shared" si="402"/>
        <v>11.814495000000001</v>
      </c>
      <c r="P482" s="46"/>
    </row>
    <row r="483" spans="1:16" x14ac:dyDescent="0.25">
      <c r="A483" s="60" t="str">
        <f>IF(G483&lt;&gt;"",1+MAX($A$13:A482),"")</f>
        <v/>
      </c>
      <c r="J483" s="80"/>
      <c r="P483" s="46"/>
    </row>
    <row r="484" spans="1:16" x14ac:dyDescent="0.25">
      <c r="A484" s="60" t="str">
        <f>IF(G484&lt;&gt;"",1+MAX($A$13:A483),"")</f>
        <v/>
      </c>
      <c r="D484" s="58" t="s">
        <v>391</v>
      </c>
      <c r="E484" s="79">
        <v>106.81</v>
      </c>
      <c r="H484" s="16" t="s">
        <v>11</v>
      </c>
      <c r="J484" s="80"/>
      <c r="P484" s="46"/>
    </row>
    <row r="485" spans="1:16" x14ac:dyDescent="0.25">
      <c r="A485" s="60">
        <f>IF(G485&lt;&gt;"",1+MAX($A$13:A484),"")</f>
        <v>329</v>
      </c>
      <c r="C485" s="16" t="s">
        <v>49</v>
      </c>
      <c r="D485" s="59" t="s">
        <v>124</v>
      </c>
      <c r="E485" s="31">
        <f>E484*9.5/32</f>
        <v>31.709218750000002</v>
      </c>
      <c r="F485" s="39">
        <f>VLOOKUP(H485,'PROJECT SUMMARY'!$C$26:$D$32,2,0)</f>
        <v>0</v>
      </c>
      <c r="G485" s="31">
        <f t="shared" ref="G485:G488" si="403">E485*(1+F485)</f>
        <v>31.709218750000002</v>
      </c>
      <c r="H485" s="16" t="s">
        <v>10</v>
      </c>
      <c r="I485" s="62">
        <v>0.35</v>
      </c>
      <c r="J485" s="80">
        <f t="shared" ref="J485:J486" si="404">I485*G485</f>
        <v>11.098226562500001</v>
      </c>
      <c r="K485" s="23">
        <v>47.5</v>
      </c>
      <c r="L485" s="23">
        <f t="shared" ref="L485:L486" si="405">K485*J485</f>
        <v>527.16576171874999</v>
      </c>
      <c r="M485" s="23">
        <v>9.6</v>
      </c>
      <c r="N485" s="23">
        <f t="shared" ref="N485:N486" si="406">M485*G485</f>
        <v>304.4085</v>
      </c>
      <c r="O485" s="23">
        <f t="shared" ref="O485:O486" si="407">L485+N485</f>
        <v>831.57426171874999</v>
      </c>
      <c r="P485" s="46"/>
    </row>
    <row r="486" spans="1:16" x14ac:dyDescent="0.25">
      <c r="A486" s="60">
        <f>IF(G486&lt;&gt;"",1+MAX($A$13:A485),"")</f>
        <v>330</v>
      </c>
      <c r="C486" s="16" t="s">
        <v>49</v>
      </c>
      <c r="D486" s="59" t="s">
        <v>131</v>
      </c>
      <c r="E486" s="31">
        <f>E484/1.33</f>
        <v>80.30827067669172</v>
      </c>
      <c r="F486" s="39">
        <f>VLOOKUP(H486,'PROJECT SUMMARY'!$C$26:$D$32,2,0)</f>
        <v>0</v>
      </c>
      <c r="G486" s="31">
        <f t="shared" si="403"/>
        <v>80.30827067669172</v>
      </c>
      <c r="H486" s="16" t="s">
        <v>10</v>
      </c>
      <c r="I486" s="62">
        <v>0.42</v>
      </c>
      <c r="J486" s="80">
        <f t="shared" si="404"/>
        <v>33.729473684210518</v>
      </c>
      <c r="K486" s="23">
        <v>47.5</v>
      </c>
      <c r="L486" s="23">
        <f t="shared" si="405"/>
        <v>1602.1499999999996</v>
      </c>
      <c r="M486" s="23">
        <v>15.5</v>
      </c>
      <c r="N486" s="23">
        <f t="shared" si="406"/>
        <v>1244.7781954887216</v>
      </c>
      <c r="O486" s="23">
        <f t="shared" si="407"/>
        <v>2846.928195488721</v>
      </c>
      <c r="P486" s="46"/>
    </row>
    <row r="487" spans="1:16" x14ac:dyDescent="0.25">
      <c r="A487" s="60">
        <f>IF(G487&lt;&gt;"",1+MAX($A$13:A486),"")</f>
        <v>331</v>
      </c>
      <c r="C487" s="16" t="s">
        <v>49</v>
      </c>
      <c r="D487" s="59" t="s">
        <v>129</v>
      </c>
      <c r="E487" s="31">
        <f>E484*3</f>
        <v>320.43</v>
      </c>
      <c r="F487" s="39">
        <f>VLOOKUP(H487,'PROJECT SUMMARY'!$C$26:$D$32,2,0)</f>
        <v>0.05</v>
      </c>
      <c r="G487" s="31">
        <f t="shared" si="403"/>
        <v>336.45150000000001</v>
      </c>
      <c r="H487" s="16" t="s">
        <v>11</v>
      </c>
      <c r="I487" s="62">
        <v>3.5000000000000003E-2</v>
      </c>
      <c r="J487" s="80">
        <f t="shared" ref="J487:J488" si="408">I487*G487</f>
        <v>11.775802500000001</v>
      </c>
      <c r="K487" s="23">
        <v>47.5</v>
      </c>
      <c r="L487" s="23">
        <f t="shared" ref="L487:L488" si="409">K487*J487</f>
        <v>559.35061875000008</v>
      </c>
      <c r="M487" s="23">
        <v>1.55</v>
      </c>
      <c r="N487" s="23">
        <f t="shared" ref="N487:N488" si="410">M487*G487</f>
        <v>521.49982499999999</v>
      </c>
      <c r="O487" s="23">
        <f t="shared" ref="O487:O488" si="411">L487+N487</f>
        <v>1080.8504437500001</v>
      </c>
      <c r="P487" s="46"/>
    </row>
    <row r="488" spans="1:16" x14ac:dyDescent="0.25">
      <c r="A488" s="60">
        <f>IF(G488&lt;&gt;"",1+MAX($A$13:A487),"")</f>
        <v>332</v>
      </c>
      <c r="C488" s="16" t="s">
        <v>49</v>
      </c>
      <c r="D488" s="59" t="s">
        <v>68</v>
      </c>
      <c r="E488" s="31">
        <f>E484*2</f>
        <v>213.62</v>
      </c>
      <c r="F488" s="39">
        <f>VLOOKUP(H488,'PROJECT SUMMARY'!$C$26:$D$32,2,0)</f>
        <v>0.05</v>
      </c>
      <c r="G488" s="31">
        <f t="shared" si="403"/>
        <v>224.30100000000002</v>
      </c>
      <c r="H488" s="16" t="s">
        <v>11</v>
      </c>
      <c r="I488" s="62">
        <v>7.0000000000000001E-3</v>
      </c>
      <c r="J488" s="80">
        <f t="shared" si="408"/>
        <v>1.5701070000000001</v>
      </c>
      <c r="K488" s="23">
        <v>47.5</v>
      </c>
      <c r="L488" s="23">
        <f t="shared" si="409"/>
        <v>74.580082500000003</v>
      </c>
      <c r="M488" s="23">
        <v>0.15</v>
      </c>
      <c r="N488" s="23">
        <f t="shared" si="410"/>
        <v>33.645150000000001</v>
      </c>
      <c r="O488" s="23">
        <f t="shared" si="411"/>
        <v>108.2252325</v>
      </c>
      <c r="P488" s="46"/>
    </row>
    <row r="489" spans="1:16" x14ac:dyDescent="0.25">
      <c r="A489" s="60" t="str">
        <f>IF(G489&lt;&gt;"",1+MAX($A$13:A488),"")</f>
        <v/>
      </c>
      <c r="J489" s="80"/>
      <c r="P489" s="46"/>
    </row>
    <row r="490" spans="1:16" x14ac:dyDescent="0.25">
      <c r="A490" s="60" t="str">
        <f>IF(G490&lt;&gt;"",1+MAX($A$13:A489),"")</f>
        <v/>
      </c>
      <c r="D490" s="58" t="s">
        <v>392</v>
      </c>
      <c r="E490" s="79">
        <v>68.58</v>
      </c>
      <c r="H490" s="16" t="s">
        <v>11</v>
      </c>
      <c r="J490" s="80"/>
      <c r="P490" s="46"/>
    </row>
    <row r="491" spans="1:16" x14ac:dyDescent="0.25">
      <c r="A491" s="60">
        <f>IF(G491&lt;&gt;"",1+MAX($A$13:A490),"")</f>
        <v>333</v>
      </c>
      <c r="C491" s="16" t="s">
        <v>49</v>
      </c>
      <c r="D491" s="59" t="s">
        <v>132</v>
      </c>
      <c r="E491" s="31">
        <f>E490*8.67/32*2</f>
        <v>37.161787499999996</v>
      </c>
      <c r="F491" s="39">
        <f>VLOOKUP(H491,'PROJECT SUMMARY'!$C$26:$D$32,2,0)</f>
        <v>0</v>
      </c>
      <c r="G491" s="31">
        <f t="shared" ref="G491:G494" si="412">E491*(1+F491)</f>
        <v>37.161787499999996</v>
      </c>
      <c r="H491" s="16" t="s">
        <v>10</v>
      </c>
      <c r="I491" s="62">
        <v>0.35</v>
      </c>
      <c r="J491" s="80">
        <f t="shared" ref="J491:J492" si="413">I491*G491</f>
        <v>13.006625624999998</v>
      </c>
      <c r="K491" s="23">
        <v>47.5</v>
      </c>
      <c r="L491" s="23">
        <f t="shared" ref="L491:L492" si="414">K491*J491</f>
        <v>617.81471718749992</v>
      </c>
      <c r="M491" s="23">
        <v>9.6</v>
      </c>
      <c r="N491" s="23">
        <f t="shared" ref="N491:N492" si="415">M491*G491</f>
        <v>356.75315999999992</v>
      </c>
      <c r="O491" s="23">
        <f t="shared" ref="O491:O492" si="416">L491+N491</f>
        <v>974.56787718749979</v>
      </c>
      <c r="P491" s="46"/>
    </row>
    <row r="492" spans="1:16" x14ac:dyDescent="0.25">
      <c r="A492" s="60">
        <f>IF(G492&lt;&gt;"",1+MAX($A$13:A491),"")</f>
        <v>334</v>
      </c>
      <c r="C492" s="16" t="s">
        <v>49</v>
      </c>
      <c r="D492" s="59" t="s">
        <v>131</v>
      </c>
      <c r="E492" s="31">
        <f>E490/1.33</f>
        <v>51.563909774436084</v>
      </c>
      <c r="F492" s="39">
        <f>VLOOKUP(H492,'PROJECT SUMMARY'!$C$26:$D$32,2,0)</f>
        <v>0</v>
      </c>
      <c r="G492" s="31">
        <f t="shared" si="412"/>
        <v>51.563909774436084</v>
      </c>
      <c r="H492" s="16" t="s">
        <v>10</v>
      </c>
      <c r="I492" s="62">
        <v>0.42</v>
      </c>
      <c r="J492" s="80">
        <f t="shared" si="413"/>
        <v>21.656842105263156</v>
      </c>
      <c r="K492" s="23">
        <v>47.5</v>
      </c>
      <c r="L492" s="23">
        <f t="shared" si="414"/>
        <v>1028.6999999999998</v>
      </c>
      <c r="M492" s="23">
        <v>15.5</v>
      </c>
      <c r="N492" s="23">
        <f t="shared" si="415"/>
        <v>799.24060150375931</v>
      </c>
      <c r="O492" s="23">
        <f t="shared" si="416"/>
        <v>1827.9406015037591</v>
      </c>
      <c r="P492" s="46"/>
    </row>
    <row r="493" spans="1:16" x14ac:dyDescent="0.25">
      <c r="A493" s="60">
        <f>IF(G493&lt;&gt;"",1+MAX($A$13:A492),"")</f>
        <v>335</v>
      </c>
      <c r="C493" s="16" t="s">
        <v>49</v>
      </c>
      <c r="D493" s="59" t="s">
        <v>129</v>
      </c>
      <c r="E493" s="31">
        <f>E490*3</f>
        <v>205.74</v>
      </c>
      <c r="F493" s="39">
        <f>VLOOKUP(H493,'PROJECT SUMMARY'!$C$26:$D$32,2,0)</f>
        <v>0.05</v>
      </c>
      <c r="G493" s="31">
        <f t="shared" si="412"/>
        <v>216.02700000000002</v>
      </c>
      <c r="H493" s="16" t="s">
        <v>11</v>
      </c>
      <c r="I493" s="62">
        <v>3.5000000000000003E-2</v>
      </c>
      <c r="J493" s="80">
        <f t="shared" ref="J493:J494" si="417">I493*G493</f>
        <v>7.5609450000000011</v>
      </c>
      <c r="K493" s="23">
        <v>47.5</v>
      </c>
      <c r="L493" s="23">
        <f t="shared" ref="L493:L494" si="418">K493*J493</f>
        <v>359.14488750000004</v>
      </c>
      <c r="M493" s="23">
        <v>1.55</v>
      </c>
      <c r="N493" s="23">
        <f t="shared" ref="N493:N494" si="419">M493*G493</f>
        <v>334.84185000000002</v>
      </c>
      <c r="O493" s="23">
        <f t="shared" ref="O493:O494" si="420">L493+N493</f>
        <v>693.98673750000012</v>
      </c>
      <c r="P493" s="46"/>
    </row>
    <row r="494" spans="1:16" x14ac:dyDescent="0.25">
      <c r="A494" s="60">
        <f>IF(G494&lt;&gt;"",1+MAX($A$13:A493),"")</f>
        <v>336</v>
      </c>
      <c r="C494" s="16" t="s">
        <v>49</v>
      </c>
      <c r="D494" s="59" t="s">
        <v>68</v>
      </c>
      <c r="E494" s="31">
        <f>E490*4</f>
        <v>274.32</v>
      </c>
      <c r="F494" s="39">
        <f>VLOOKUP(H494,'PROJECT SUMMARY'!$C$26:$D$32,2,0)</f>
        <v>0.05</v>
      </c>
      <c r="G494" s="31">
        <f t="shared" si="412"/>
        <v>288.036</v>
      </c>
      <c r="H494" s="16" t="s">
        <v>11</v>
      </c>
      <c r="I494" s="62">
        <v>7.0000000000000001E-3</v>
      </c>
      <c r="J494" s="80">
        <f t="shared" si="417"/>
        <v>2.0162520000000002</v>
      </c>
      <c r="K494" s="23">
        <v>47.5</v>
      </c>
      <c r="L494" s="23">
        <f t="shared" si="418"/>
        <v>95.77197000000001</v>
      </c>
      <c r="M494" s="23">
        <v>0.15</v>
      </c>
      <c r="N494" s="23">
        <f t="shared" si="419"/>
        <v>43.205399999999997</v>
      </c>
      <c r="O494" s="23">
        <f t="shared" si="420"/>
        <v>138.97737000000001</v>
      </c>
      <c r="P494" s="46"/>
    </row>
    <row r="495" spans="1:16" x14ac:dyDescent="0.25">
      <c r="A495" s="60" t="str">
        <f>IF(G495&lt;&gt;"",1+MAX($A$13:A494),"")</f>
        <v/>
      </c>
      <c r="J495" s="80"/>
      <c r="P495" s="46"/>
    </row>
    <row r="496" spans="1:16" x14ac:dyDescent="0.25">
      <c r="A496" s="60" t="str">
        <f>IF(G496&lt;&gt;"",1+MAX($A$13:A495),"")</f>
        <v/>
      </c>
      <c r="D496" s="58" t="s">
        <v>393</v>
      </c>
      <c r="E496" s="79">
        <v>38</v>
      </c>
      <c r="H496" s="16" t="s">
        <v>11</v>
      </c>
      <c r="J496" s="80"/>
      <c r="P496" s="46"/>
    </row>
    <row r="497" spans="1:16" x14ac:dyDescent="0.25">
      <c r="A497" s="60">
        <f>IF(G497&lt;&gt;"",1+MAX($A$13:A496),"")</f>
        <v>337</v>
      </c>
      <c r="C497" s="16" t="s">
        <v>49</v>
      </c>
      <c r="D497" s="59" t="s">
        <v>124</v>
      </c>
      <c r="E497" s="31">
        <f>E496*8.67/32</f>
        <v>10.295624999999999</v>
      </c>
      <c r="F497" s="39">
        <f>VLOOKUP(H497,'PROJECT SUMMARY'!$C$26:$D$32,2,0)</f>
        <v>0</v>
      </c>
      <c r="G497" s="31">
        <f t="shared" ref="G497:G501" si="421">E497*(1+F497)</f>
        <v>10.295624999999999</v>
      </c>
      <c r="H497" s="16" t="s">
        <v>10</v>
      </c>
      <c r="I497" s="62">
        <v>0.35</v>
      </c>
      <c r="J497" s="80">
        <f t="shared" ref="J497:J499" si="422">I497*G497</f>
        <v>3.6034687499999993</v>
      </c>
      <c r="K497" s="23">
        <v>47.5</v>
      </c>
      <c r="L497" s="23">
        <f t="shared" ref="L497:L499" si="423">K497*J497</f>
        <v>171.16476562499997</v>
      </c>
      <c r="M497" s="23">
        <v>9.6</v>
      </c>
      <c r="N497" s="23">
        <f t="shared" ref="N497:N499" si="424">M497*G497</f>
        <v>98.837999999999994</v>
      </c>
      <c r="O497" s="23">
        <f t="shared" ref="O497:O499" si="425">L497+N497</f>
        <v>270.00276562499994</v>
      </c>
      <c r="P497" s="46"/>
    </row>
    <row r="498" spans="1:16" x14ac:dyDescent="0.25">
      <c r="A498" s="60">
        <f>IF(G498&lt;&gt;"",1+MAX($A$13:A497),"")</f>
        <v>338</v>
      </c>
      <c r="C498" s="16" t="s">
        <v>49</v>
      </c>
      <c r="D498" s="59" t="s">
        <v>130</v>
      </c>
      <c r="E498" s="31">
        <f>E496*8.67/32</f>
        <v>10.295624999999999</v>
      </c>
      <c r="F498" s="39">
        <f>VLOOKUP(H498,'PROJECT SUMMARY'!$C$26:$D$32,2,0)</f>
        <v>0</v>
      </c>
      <c r="G498" s="31">
        <f t="shared" ref="G498" si="426">E498*(1+F498)</f>
        <v>10.295624999999999</v>
      </c>
      <c r="H498" s="16" t="s">
        <v>10</v>
      </c>
      <c r="I498" s="62">
        <v>0.35</v>
      </c>
      <c r="J498" s="80">
        <f t="shared" si="422"/>
        <v>3.6034687499999993</v>
      </c>
      <c r="K498" s="23">
        <v>47.5</v>
      </c>
      <c r="L498" s="23">
        <f t="shared" si="423"/>
        <v>171.16476562499997</v>
      </c>
      <c r="M498" s="23">
        <v>11</v>
      </c>
      <c r="N498" s="23">
        <f t="shared" si="424"/>
        <v>113.251875</v>
      </c>
      <c r="O498" s="23">
        <f t="shared" si="425"/>
        <v>284.41664062499996</v>
      </c>
      <c r="P498" s="46"/>
    </row>
    <row r="499" spans="1:16" x14ac:dyDescent="0.25">
      <c r="A499" s="60">
        <f>IF(G499&lt;&gt;"",1+MAX($A$13:A498),"")</f>
        <v>339</v>
      </c>
      <c r="C499" s="16" t="s">
        <v>49</v>
      </c>
      <c r="D499" s="59" t="s">
        <v>131</v>
      </c>
      <c r="E499" s="31">
        <f>E496/1.33</f>
        <v>28.571428571428569</v>
      </c>
      <c r="F499" s="39">
        <f>VLOOKUP(H499,'PROJECT SUMMARY'!$C$26:$D$32,2,0)</f>
        <v>0</v>
      </c>
      <c r="G499" s="31">
        <f t="shared" si="421"/>
        <v>28.571428571428569</v>
      </c>
      <c r="H499" s="16" t="s">
        <v>10</v>
      </c>
      <c r="I499" s="62">
        <v>0.42</v>
      </c>
      <c r="J499" s="80">
        <f t="shared" si="422"/>
        <v>11.999999999999998</v>
      </c>
      <c r="K499" s="23">
        <v>47.5</v>
      </c>
      <c r="L499" s="23">
        <f t="shared" si="423"/>
        <v>569.99999999999989</v>
      </c>
      <c r="M499" s="23">
        <v>15.5</v>
      </c>
      <c r="N499" s="23">
        <f t="shared" si="424"/>
        <v>442.85714285714283</v>
      </c>
      <c r="O499" s="23">
        <f t="shared" si="425"/>
        <v>1012.8571428571427</v>
      </c>
      <c r="P499" s="46"/>
    </row>
    <row r="500" spans="1:16" x14ac:dyDescent="0.25">
      <c r="A500" s="60">
        <f>IF(G500&lt;&gt;"",1+MAX($A$13:A499),"")</f>
        <v>340</v>
      </c>
      <c r="C500" s="16" t="s">
        <v>49</v>
      </c>
      <c r="D500" s="59" t="s">
        <v>129</v>
      </c>
      <c r="E500" s="31">
        <f>E496*3</f>
        <v>114</v>
      </c>
      <c r="F500" s="39">
        <f>VLOOKUP(H500,'PROJECT SUMMARY'!$C$26:$D$32,2,0)</f>
        <v>0.05</v>
      </c>
      <c r="G500" s="31">
        <f t="shared" si="421"/>
        <v>119.7</v>
      </c>
      <c r="H500" s="16" t="s">
        <v>11</v>
      </c>
      <c r="I500" s="62">
        <v>3.5000000000000003E-2</v>
      </c>
      <c r="J500" s="80">
        <f t="shared" ref="J500:J501" si="427">I500*G500</f>
        <v>4.1895000000000007</v>
      </c>
      <c r="K500" s="23">
        <v>47.5</v>
      </c>
      <c r="L500" s="23">
        <f t="shared" ref="L500:L501" si="428">K500*J500</f>
        <v>199.00125000000003</v>
      </c>
      <c r="M500" s="23">
        <v>1.55</v>
      </c>
      <c r="N500" s="23">
        <f t="shared" ref="N500:N501" si="429">M500*G500</f>
        <v>185.535</v>
      </c>
      <c r="O500" s="23">
        <f t="shared" ref="O500:O501" si="430">L500+N500</f>
        <v>384.53625</v>
      </c>
      <c r="P500" s="46"/>
    </row>
    <row r="501" spans="1:16" x14ac:dyDescent="0.25">
      <c r="A501" s="60">
        <f>IF(G501&lt;&gt;"",1+MAX($A$13:A500),"")</f>
        <v>341</v>
      </c>
      <c r="C501" s="16" t="s">
        <v>49</v>
      </c>
      <c r="D501" s="59" t="s">
        <v>68</v>
      </c>
      <c r="E501" s="31">
        <f>E496*4</f>
        <v>152</v>
      </c>
      <c r="F501" s="39">
        <f>VLOOKUP(H501,'PROJECT SUMMARY'!$C$26:$D$32,2,0)</f>
        <v>0.05</v>
      </c>
      <c r="G501" s="31">
        <f t="shared" si="421"/>
        <v>159.6</v>
      </c>
      <c r="H501" s="16" t="s">
        <v>11</v>
      </c>
      <c r="I501" s="62">
        <v>7.0000000000000001E-3</v>
      </c>
      <c r="J501" s="80">
        <f t="shared" si="427"/>
        <v>1.1172</v>
      </c>
      <c r="K501" s="23">
        <v>47.5</v>
      </c>
      <c r="L501" s="23">
        <f t="shared" si="428"/>
        <v>53.067</v>
      </c>
      <c r="M501" s="23">
        <v>0.15</v>
      </c>
      <c r="N501" s="23">
        <f t="shared" si="429"/>
        <v>23.939999999999998</v>
      </c>
      <c r="O501" s="23">
        <f t="shared" si="430"/>
        <v>77.007000000000005</v>
      </c>
      <c r="P501" s="46"/>
    </row>
    <row r="502" spans="1:16" x14ac:dyDescent="0.25">
      <c r="A502" s="60" t="str">
        <f>IF(G502&lt;&gt;"",1+MAX($A$13:A501),"")</f>
        <v/>
      </c>
      <c r="J502" s="80"/>
      <c r="P502" s="46"/>
    </row>
    <row r="503" spans="1:16" x14ac:dyDescent="0.25">
      <c r="A503" s="60" t="str">
        <f>IF(G503&lt;&gt;"",1+MAX($A$13:A502),"")</f>
        <v/>
      </c>
      <c r="D503" s="58" t="s">
        <v>395</v>
      </c>
      <c r="E503" s="79">
        <v>6.65</v>
      </c>
      <c r="H503" s="16" t="s">
        <v>11</v>
      </c>
      <c r="J503" s="80"/>
      <c r="P503" s="46"/>
    </row>
    <row r="504" spans="1:16" x14ac:dyDescent="0.25">
      <c r="A504" s="60">
        <f>IF(G504&lt;&gt;"",1+MAX($A$13:A503),"")</f>
        <v>342</v>
      </c>
      <c r="C504" s="16" t="s">
        <v>49</v>
      </c>
      <c r="D504" s="59" t="s">
        <v>133</v>
      </c>
      <c r="E504" s="31">
        <f>E503*8.67/32*2</f>
        <v>3.6034687500000002</v>
      </c>
      <c r="F504" s="39">
        <f>VLOOKUP(H504,'PROJECT SUMMARY'!$C$26:$D$32,2,0)</f>
        <v>0</v>
      </c>
      <c r="G504" s="31">
        <f t="shared" ref="G504:G507" si="431">E504*(1+F504)</f>
        <v>3.6034687500000002</v>
      </c>
      <c r="H504" s="16" t="s">
        <v>10</v>
      </c>
      <c r="I504" s="62">
        <v>0.35</v>
      </c>
      <c r="J504" s="80">
        <f t="shared" ref="J504:J505" si="432">I504*G504</f>
        <v>1.2612140624999999</v>
      </c>
      <c r="K504" s="23">
        <v>47.5</v>
      </c>
      <c r="L504" s="23">
        <f t="shared" ref="L504:L505" si="433">K504*J504</f>
        <v>59.907667968749998</v>
      </c>
      <c r="M504" s="23">
        <v>11</v>
      </c>
      <c r="N504" s="23">
        <f t="shared" ref="N504:N505" si="434">M504*G504</f>
        <v>39.638156250000002</v>
      </c>
      <c r="O504" s="23">
        <f t="shared" ref="O504:O505" si="435">L504+N504</f>
        <v>99.545824218749999</v>
      </c>
      <c r="P504" s="46"/>
    </row>
    <row r="505" spans="1:16" x14ac:dyDescent="0.25">
      <c r="A505" s="60">
        <f>IF(G505&lt;&gt;"",1+MAX($A$13:A504),"")</f>
        <v>343</v>
      </c>
      <c r="C505" s="16" t="s">
        <v>49</v>
      </c>
      <c r="D505" s="59" t="s">
        <v>131</v>
      </c>
      <c r="E505" s="31">
        <f>E503/1.33</f>
        <v>5</v>
      </c>
      <c r="F505" s="39">
        <f>VLOOKUP(H505,'PROJECT SUMMARY'!$C$26:$D$32,2,0)</f>
        <v>0</v>
      </c>
      <c r="G505" s="31">
        <f t="shared" si="431"/>
        <v>5</v>
      </c>
      <c r="H505" s="16" t="s">
        <v>10</v>
      </c>
      <c r="I505" s="62">
        <v>0.42</v>
      </c>
      <c r="J505" s="80">
        <f t="shared" si="432"/>
        <v>2.1</v>
      </c>
      <c r="K505" s="23">
        <v>47.5</v>
      </c>
      <c r="L505" s="23">
        <f t="shared" si="433"/>
        <v>99.75</v>
      </c>
      <c r="M505" s="23">
        <v>15.5</v>
      </c>
      <c r="N505" s="23">
        <f t="shared" si="434"/>
        <v>77.5</v>
      </c>
      <c r="O505" s="23">
        <f t="shared" si="435"/>
        <v>177.25</v>
      </c>
      <c r="P505" s="46"/>
    </row>
    <row r="506" spans="1:16" x14ac:dyDescent="0.25">
      <c r="A506" s="60">
        <f>IF(G506&lt;&gt;"",1+MAX($A$13:A505),"")</f>
        <v>344</v>
      </c>
      <c r="C506" s="16" t="s">
        <v>49</v>
      </c>
      <c r="D506" s="59" t="s">
        <v>129</v>
      </c>
      <c r="E506" s="31">
        <f>E503*3</f>
        <v>19.950000000000003</v>
      </c>
      <c r="F506" s="39">
        <f>VLOOKUP(H506,'PROJECT SUMMARY'!$C$26:$D$32,2,0)</f>
        <v>0.05</v>
      </c>
      <c r="G506" s="31">
        <f t="shared" si="431"/>
        <v>20.947500000000005</v>
      </c>
      <c r="H506" s="16" t="s">
        <v>11</v>
      </c>
      <c r="I506" s="62">
        <v>3.5000000000000003E-2</v>
      </c>
      <c r="J506" s="80">
        <f t="shared" ref="J506:J507" si="436">I506*G506</f>
        <v>0.73316250000000027</v>
      </c>
      <c r="K506" s="23">
        <v>47.5</v>
      </c>
      <c r="L506" s="23">
        <f t="shared" ref="L506:L507" si="437">K506*J506</f>
        <v>34.825218750000012</v>
      </c>
      <c r="M506" s="23">
        <v>1.55</v>
      </c>
      <c r="N506" s="23">
        <f t="shared" ref="N506:N507" si="438">M506*G506</f>
        <v>32.46862500000001</v>
      </c>
      <c r="O506" s="23">
        <f t="shared" ref="O506:O507" si="439">L506+N506</f>
        <v>67.293843750000022</v>
      </c>
      <c r="P506" s="46"/>
    </row>
    <row r="507" spans="1:16" x14ac:dyDescent="0.25">
      <c r="A507" s="60">
        <f>IF(G507&lt;&gt;"",1+MAX($A$13:A506),"")</f>
        <v>345</v>
      </c>
      <c r="C507" s="16" t="s">
        <v>49</v>
      </c>
      <c r="D507" s="59" t="s">
        <v>68</v>
      </c>
      <c r="E507" s="31">
        <f>E503*4</f>
        <v>26.6</v>
      </c>
      <c r="F507" s="39">
        <f>VLOOKUP(H507,'PROJECT SUMMARY'!$C$26:$D$32,2,0)</f>
        <v>0.05</v>
      </c>
      <c r="G507" s="31">
        <f t="shared" si="431"/>
        <v>27.930000000000003</v>
      </c>
      <c r="H507" s="16" t="s">
        <v>11</v>
      </c>
      <c r="I507" s="62">
        <v>7.0000000000000001E-3</v>
      </c>
      <c r="J507" s="80">
        <f t="shared" si="436"/>
        <v>0.19551000000000002</v>
      </c>
      <c r="K507" s="23">
        <v>47.5</v>
      </c>
      <c r="L507" s="23">
        <f t="shared" si="437"/>
        <v>9.2867250000000006</v>
      </c>
      <c r="M507" s="23">
        <v>0.15</v>
      </c>
      <c r="N507" s="23">
        <f t="shared" si="438"/>
        <v>4.1895000000000007</v>
      </c>
      <c r="O507" s="23">
        <f t="shared" si="439"/>
        <v>13.476225000000001</v>
      </c>
      <c r="P507" s="46"/>
    </row>
    <row r="508" spans="1:16" x14ac:dyDescent="0.25">
      <c r="A508" s="60" t="str">
        <f>IF(G508&lt;&gt;"",1+MAX($A$13:A507),"")</f>
        <v/>
      </c>
      <c r="J508" s="80"/>
      <c r="P508" s="46"/>
    </row>
    <row r="509" spans="1:16" x14ac:dyDescent="0.25">
      <c r="A509" s="60" t="str">
        <f>IF(G509&lt;&gt;"",1+MAX($A$13:A508),"")</f>
        <v/>
      </c>
      <c r="D509" s="58" t="s">
        <v>394</v>
      </c>
      <c r="E509" s="79">
        <v>8.56</v>
      </c>
      <c r="H509" s="16" t="s">
        <v>11</v>
      </c>
      <c r="J509" s="80"/>
      <c r="P509" s="46"/>
    </row>
    <row r="510" spans="1:16" x14ac:dyDescent="0.25">
      <c r="A510" s="60">
        <f>IF(G510&lt;&gt;"",1+MAX($A$13:A509),"")</f>
        <v>346</v>
      </c>
      <c r="C510" s="16" t="s">
        <v>49</v>
      </c>
      <c r="D510" s="59" t="s">
        <v>124</v>
      </c>
      <c r="E510" s="31">
        <f>E509*8.9167/32</f>
        <v>2.3852172500000002</v>
      </c>
      <c r="F510" s="39">
        <f>VLOOKUP(H510,'PROJECT SUMMARY'!$C$26:$D$32,2,0)</f>
        <v>0</v>
      </c>
      <c r="G510" s="31">
        <f t="shared" ref="G510:G514" si="440">E510*(1+F510)</f>
        <v>2.3852172500000002</v>
      </c>
      <c r="H510" s="16" t="s">
        <v>10</v>
      </c>
      <c r="I510" s="62">
        <v>0.35</v>
      </c>
      <c r="J510" s="80">
        <f t="shared" ref="J510:J512" si="441">I510*G510</f>
        <v>0.83482603750000006</v>
      </c>
      <c r="K510" s="23">
        <v>47.5</v>
      </c>
      <c r="L510" s="23">
        <f t="shared" ref="L510:L512" si="442">K510*J510</f>
        <v>39.654236781250006</v>
      </c>
      <c r="M510" s="23">
        <v>9.6</v>
      </c>
      <c r="N510" s="23">
        <f t="shared" ref="N510:N512" si="443">M510*G510</f>
        <v>22.898085600000002</v>
      </c>
      <c r="O510" s="23">
        <f t="shared" ref="O510:O512" si="444">L510+N510</f>
        <v>62.552322381250008</v>
      </c>
      <c r="P510" s="46"/>
    </row>
    <row r="511" spans="1:16" x14ac:dyDescent="0.25">
      <c r="A511" s="60">
        <f>IF(G511&lt;&gt;"",1+MAX($A$13:A510),"")</f>
        <v>347</v>
      </c>
      <c r="C511" s="16" t="s">
        <v>49</v>
      </c>
      <c r="D511" s="59" t="s">
        <v>130</v>
      </c>
      <c r="E511" s="31">
        <f>E509*8.9167/32</f>
        <v>2.3852172500000002</v>
      </c>
      <c r="F511" s="39">
        <f>VLOOKUP(H511,'PROJECT SUMMARY'!$C$26:$D$32,2,0)</f>
        <v>0</v>
      </c>
      <c r="G511" s="31">
        <f t="shared" si="440"/>
        <v>2.3852172500000002</v>
      </c>
      <c r="H511" s="16" t="s">
        <v>10</v>
      </c>
      <c r="I511" s="62">
        <v>0.35</v>
      </c>
      <c r="J511" s="80">
        <f t="shared" si="441"/>
        <v>0.83482603750000006</v>
      </c>
      <c r="K511" s="23">
        <v>47.5</v>
      </c>
      <c r="L511" s="23">
        <f t="shared" si="442"/>
        <v>39.654236781250006</v>
      </c>
      <c r="M511" s="23">
        <v>11</v>
      </c>
      <c r="N511" s="23">
        <f t="shared" si="443"/>
        <v>26.237389750000002</v>
      </c>
      <c r="O511" s="23">
        <f t="shared" si="444"/>
        <v>65.891626531250012</v>
      </c>
      <c r="P511" s="46"/>
    </row>
    <row r="512" spans="1:16" x14ac:dyDescent="0.25">
      <c r="A512" s="60">
        <f>IF(G512&lt;&gt;"",1+MAX($A$13:A511),"")</f>
        <v>348</v>
      </c>
      <c r="C512" s="16" t="s">
        <v>49</v>
      </c>
      <c r="D512" s="59" t="s">
        <v>131</v>
      </c>
      <c r="E512" s="31">
        <f>E509/1.33</f>
        <v>6.4360902255639099</v>
      </c>
      <c r="F512" s="39">
        <f>VLOOKUP(H512,'PROJECT SUMMARY'!$C$26:$D$32,2,0)</f>
        <v>0</v>
      </c>
      <c r="G512" s="31">
        <f t="shared" si="440"/>
        <v>6.4360902255639099</v>
      </c>
      <c r="H512" s="16" t="s">
        <v>10</v>
      </c>
      <c r="I512" s="62">
        <v>0.42</v>
      </c>
      <c r="J512" s="80">
        <f t="shared" si="441"/>
        <v>2.703157894736842</v>
      </c>
      <c r="K512" s="23">
        <v>47.5</v>
      </c>
      <c r="L512" s="23">
        <f t="shared" si="442"/>
        <v>128.4</v>
      </c>
      <c r="M512" s="23">
        <v>15.5</v>
      </c>
      <c r="N512" s="23">
        <f t="shared" si="443"/>
        <v>99.759398496240607</v>
      </c>
      <c r="O512" s="23">
        <f t="shared" si="444"/>
        <v>228.15939849624061</v>
      </c>
      <c r="P512" s="46"/>
    </row>
    <row r="513" spans="1:16" x14ac:dyDescent="0.25">
      <c r="A513" s="60">
        <f>IF(G513&lt;&gt;"",1+MAX($A$13:A512),"")</f>
        <v>349</v>
      </c>
      <c r="C513" s="16" t="s">
        <v>49</v>
      </c>
      <c r="D513" s="59" t="s">
        <v>129</v>
      </c>
      <c r="E513" s="31">
        <f>E509*3</f>
        <v>25.68</v>
      </c>
      <c r="F513" s="39">
        <f>VLOOKUP(H513,'PROJECT SUMMARY'!$C$26:$D$32,2,0)</f>
        <v>0.05</v>
      </c>
      <c r="G513" s="31">
        <f t="shared" si="440"/>
        <v>26.964000000000002</v>
      </c>
      <c r="H513" s="16" t="s">
        <v>11</v>
      </c>
      <c r="I513" s="62">
        <v>3.5000000000000003E-2</v>
      </c>
      <c r="J513" s="80">
        <f t="shared" ref="J513:J514" si="445">I513*G513</f>
        <v>0.94374000000000013</v>
      </c>
      <c r="K513" s="23">
        <v>47.5</v>
      </c>
      <c r="L513" s="23">
        <f t="shared" ref="L513:L514" si="446">K513*J513</f>
        <v>44.827650000000006</v>
      </c>
      <c r="M513" s="23">
        <v>1.55</v>
      </c>
      <c r="N513" s="23">
        <f t="shared" ref="N513:N514" si="447">M513*G513</f>
        <v>41.794200000000004</v>
      </c>
      <c r="O513" s="23">
        <f t="shared" ref="O513:O514" si="448">L513+N513</f>
        <v>86.621850000000009</v>
      </c>
      <c r="P513" s="46"/>
    </row>
    <row r="514" spans="1:16" x14ac:dyDescent="0.25">
      <c r="A514" s="60">
        <f>IF(G514&lt;&gt;"",1+MAX($A$13:A513),"")</f>
        <v>350</v>
      </c>
      <c r="C514" s="16" t="s">
        <v>49</v>
      </c>
      <c r="D514" s="59" t="s">
        <v>68</v>
      </c>
      <c r="E514" s="31">
        <f>E509*4</f>
        <v>34.24</v>
      </c>
      <c r="F514" s="39">
        <f>VLOOKUP(H514,'PROJECT SUMMARY'!$C$26:$D$32,2,0)</f>
        <v>0.05</v>
      </c>
      <c r="G514" s="31">
        <f t="shared" si="440"/>
        <v>35.952000000000005</v>
      </c>
      <c r="H514" s="16" t="s">
        <v>11</v>
      </c>
      <c r="I514" s="62">
        <v>7.0000000000000001E-3</v>
      </c>
      <c r="J514" s="80">
        <f t="shared" si="445"/>
        <v>0.25166400000000005</v>
      </c>
      <c r="K514" s="23">
        <v>47.5</v>
      </c>
      <c r="L514" s="23">
        <f t="shared" si="446"/>
        <v>11.954040000000003</v>
      </c>
      <c r="M514" s="23">
        <v>0.15</v>
      </c>
      <c r="N514" s="23">
        <f t="shared" si="447"/>
        <v>5.3928000000000003</v>
      </c>
      <c r="O514" s="23">
        <f t="shared" si="448"/>
        <v>17.346840000000004</v>
      </c>
      <c r="P514" s="46"/>
    </row>
    <row r="515" spans="1:16" x14ac:dyDescent="0.25">
      <c r="A515" s="60" t="str">
        <f>IF(G515&lt;&gt;"",1+MAX($A$13:A514),"")</f>
        <v/>
      </c>
      <c r="J515" s="80"/>
      <c r="P515" s="46"/>
    </row>
    <row r="516" spans="1:16" x14ac:dyDescent="0.25">
      <c r="A516" s="60" t="str">
        <f>IF(G516&lt;&gt;"",1+MAX($A$13:A515),"")</f>
        <v/>
      </c>
      <c r="D516" s="58" t="s">
        <v>396</v>
      </c>
      <c r="E516" s="79">
        <v>19.82</v>
      </c>
      <c r="H516" s="16" t="s">
        <v>11</v>
      </c>
      <c r="J516" s="80"/>
      <c r="P516" s="46"/>
    </row>
    <row r="517" spans="1:16" x14ac:dyDescent="0.25">
      <c r="A517" s="60">
        <f>IF(G517&lt;&gt;"",1+MAX($A$13:A516),"")</f>
        <v>351</v>
      </c>
      <c r="C517" s="16" t="s">
        <v>49</v>
      </c>
      <c r="D517" s="59" t="s">
        <v>132</v>
      </c>
      <c r="E517" s="31">
        <f>E516*9.33/32*2</f>
        <v>11.5575375</v>
      </c>
      <c r="F517" s="39">
        <f>VLOOKUP(H517,'PROJECT SUMMARY'!$C$26:$D$32,2,0)</f>
        <v>0</v>
      </c>
      <c r="G517" s="31">
        <f t="shared" ref="G517:G520" si="449">E517*(1+F517)</f>
        <v>11.5575375</v>
      </c>
      <c r="H517" s="16" t="s">
        <v>10</v>
      </c>
      <c r="I517" s="62">
        <v>0.35</v>
      </c>
      <c r="J517" s="80">
        <f t="shared" ref="J517:J518" si="450">I517*G517</f>
        <v>4.0451381250000003</v>
      </c>
      <c r="K517" s="23">
        <v>47.5</v>
      </c>
      <c r="L517" s="23">
        <f t="shared" ref="L517:L518" si="451">K517*J517</f>
        <v>192.1440609375</v>
      </c>
      <c r="M517" s="23">
        <v>9.6</v>
      </c>
      <c r="N517" s="23">
        <f t="shared" ref="N517:N518" si="452">M517*G517</f>
        <v>110.95236</v>
      </c>
      <c r="O517" s="23">
        <f t="shared" ref="O517:O518" si="453">L517+N517</f>
        <v>303.0964209375</v>
      </c>
      <c r="P517" s="46"/>
    </row>
    <row r="518" spans="1:16" x14ac:dyDescent="0.25">
      <c r="A518" s="60">
        <f>IF(G518&lt;&gt;"",1+MAX($A$13:A517),"")</f>
        <v>352</v>
      </c>
      <c r="C518" s="16" t="s">
        <v>49</v>
      </c>
      <c r="D518" s="59" t="s">
        <v>131</v>
      </c>
      <c r="E518" s="31">
        <f>E516/1.33</f>
        <v>14.902255639097744</v>
      </c>
      <c r="F518" s="39">
        <f>VLOOKUP(H518,'PROJECT SUMMARY'!$C$26:$D$32,2,0)</f>
        <v>0</v>
      </c>
      <c r="G518" s="31">
        <f t="shared" si="449"/>
        <v>14.902255639097744</v>
      </c>
      <c r="H518" s="16" t="s">
        <v>10</v>
      </c>
      <c r="I518" s="62">
        <v>0.42</v>
      </c>
      <c r="J518" s="80">
        <f t="shared" si="450"/>
        <v>6.2589473684210519</v>
      </c>
      <c r="K518" s="23">
        <v>47.5</v>
      </c>
      <c r="L518" s="23">
        <f t="shared" si="451"/>
        <v>297.29999999999995</v>
      </c>
      <c r="M518" s="23">
        <v>15.5</v>
      </c>
      <c r="N518" s="23">
        <f t="shared" si="452"/>
        <v>230.98496240601503</v>
      </c>
      <c r="O518" s="23">
        <f t="shared" si="453"/>
        <v>528.28496240601498</v>
      </c>
      <c r="P518" s="46"/>
    </row>
    <row r="519" spans="1:16" x14ac:dyDescent="0.25">
      <c r="A519" s="60">
        <f>IF(G519&lt;&gt;"",1+MAX($A$13:A518),"")</f>
        <v>353</v>
      </c>
      <c r="C519" s="16" t="s">
        <v>49</v>
      </c>
      <c r="D519" s="59" t="s">
        <v>129</v>
      </c>
      <c r="E519" s="31">
        <f>E516*3</f>
        <v>59.46</v>
      </c>
      <c r="F519" s="39">
        <f>VLOOKUP(H519,'PROJECT SUMMARY'!$C$26:$D$32,2,0)</f>
        <v>0.05</v>
      </c>
      <c r="G519" s="31">
        <f t="shared" si="449"/>
        <v>62.433000000000007</v>
      </c>
      <c r="H519" s="16" t="s">
        <v>11</v>
      </c>
      <c r="I519" s="62">
        <v>3.5000000000000003E-2</v>
      </c>
      <c r="J519" s="80">
        <f t="shared" ref="J519:J520" si="454">I519*G519</f>
        <v>2.1851550000000004</v>
      </c>
      <c r="K519" s="23">
        <v>47.5</v>
      </c>
      <c r="L519" s="23">
        <f t="shared" ref="L519:L520" si="455">K519*J519</f>
        <v>103.79486250000002</v>
      </c>
      <c r="M519" s="23">
        <v>1.55</v>
      </c>
      <c r="N519" s="23">
        <f t="shared" ref="N519:N520" si="456">M519*G519</f>
        <v>96.77115000000002</v>
      </c>
      <c r="O519" s="23">
        <f t="shared" ref="O519:O520" si="457">L519+N519</f>
        <v>200.56601250000006</v>
      </c>
      <c r="P519" s="46"/>
    </row>
    <row r="520" spans="1:16" x14ac:dyDescent="0.25">
      <c r="A520" s="60">
        <f>IF(G520&lt;&gt;"",1+MAX($A$13:A519),"")</f>
        <v>354</v>
      </c>
      <c r="C520" s="16" t="s">
        <v>49</v>
      </c>
      <c r="D520" s="59" t="s">
        <v>68</v>
      </c>
      <c r="E520" s="31">
        <f>E516*4</f>
        <v>79.28</v>
      </c>
      <c r="F520" s="39">
        <f>VLOOKUP(H520,'PROJECT SUMMARY'!$C$26:$D$32,2,0)</f>
        <v>0.05</v>
      </c>
      <c r="G520" s="31">
        <f t="shared" si="449"/>
        <v>83.244</v>
      </c>
      <c r="H520" s="16" t="s">
        <v>11</v>
      </c>
      <c r="I520" s="62">
        <v>7.0000000000000001E-3</v>
      </c>
      <c r="J520" s="80">
        <f t="shared" si="454"/>
        <v>0.582708</v>
      </c>
      <c r="K520" s="23">
        <v>47.5</v>
      </c>
      <c r="L520" s="23">
        <f t="shared" si="455"/>
        <v>27.678630000000002</v>
      </c>
      <c r="M520" s="23">
        <v>0.15</v>
      </c>
      <c r="N520" s="23">
        <f t="shared" si="456"/>
        <v>12.486599999999999</v>
      </c>
      <c r="O520" s="23">
        <f t="shared" si="457"/>
        <v>40.165230000000001</v>
      </c>
      <c r="P520" s="46"/>
    </row>
    <row r="521" spans="1:16" x14ac:dyDescent="0.25">
      <c r="A521" s="60" t="str">
        <f>IF(G521&lt;&gt;"",1+MAX($A$13:A520),"")</f>
        <v/>
      </c>
      <c r="J521" s="80"/>
      <c r="P521" s="46"/>
    </row>
    <row r="522" spans="1:16" x14ac:dyDescent="0.25">
      <c r="A522" s="60" t="str">
        <f>IF(G522&lt;&gt;"",1+MAX($A$13:A521),"")</f>
        <v/>
      </c>
      <c r="D522" s="58" t="s">
        <v>397</v>
      </c>
      <c r="E522" s="79">
        <v>27.49</v>
      </c>
      <c r="H522" s="16" t="s">
        <v>11</v>
      </c>
      <c r="J522" s="80"/>
      <c r="P522" s="46"/>
    </row>
    <row r="523" spans="1:16" x14ac:dyDescent="0.25">
      <c r="A523" s="60">
        <f>IF(G523&lt;&gt;"",1+MAX($A$13:A522),"")</f>
        <v>355</v>
      </c>
      <c r="C523" s="16" t="s">
        <v>49</v>
      </c>
      <c r="D523" s="59" t="s">
        <v>124</v>
      </c>
      <c r="E523" s="31">
        <f>E522*9.5/32</f>
        <v>8.1610937499999991</v>
      </c>
      <c r="F523" s="39">
        <f>VLOOKUP(H523,'PROJECT SUMMARY'!$C$26:$D$32,2,0)</f>
        <v>0</v>
      </c>
      <c r="G523" s="31">
        <f t="shared" ref="G523:G526" si="458">E523*(1+F523)</f>
        <v>8.1610937499999991</v>
      </c>
      <c r="H523" s="16" t="s">
        <v>10</v>
      </c>
      <c r="I523" s="62">
        <v>0.35</v>
      </c>
      <c r="J523" s="80">
        <f t="shared" ref="J523:J524" si="459">I523*G523</f>
        <v>2.8563828124999997</v>
      </c>
      <c r="K523" s="23">
        <v>47.5</v>
      </c>
      <c r="L523" s="23">
        <f t="shared" ref="L523:L524" si="460">K523*J523</f>
        <v>135.67818359374999</v>
      </c>
      <c r="M523" s="23">
        <v>9.6</v>
      </c>
      <c r="N523" s="23">
        <f t="shared" ref="N523:N524" si="461">M523*G523</f>
        <v>78.346499999999992</v>
      </c>
      <c r="O523" s="23">
        <f t="shared" ref="O523:O524" si="462">L523+N523</f>
        <v>214.02468359374998</v>
      </c>
      <c r="P523" s="46"/>
    </row>
    <row r="524" spans="1:16" x14ac:dyDescent="0.25">
      <c r="A524" s="60">
        <f>IF(G524&lt;&gt;"",1+MAX($A$13:A523),"")</f>
        <v>356</v>
      </c>
      <c r="C524" s="16" t="s">
        <v>49</v>
      </c>
      <c r="D524" s="59" t="s">
        <v>131</v>
      </c>
      <c r="E524" s="31">
        <f>E522/1.33</f>
        <v>20.669172932330824</v>
      </c>
      <c r="F524" s="39">
        <f>VLOOKUP(H524,'PROJECT SUMMARY'!$C$26:$D$32,2,0)</f>
        <v>0</v>
      </c>
      <c r="G524" s="31">
        <f t="shared" si="458"/>
        <v>20.669172932330824</v>
      </c>
      <c r="H524" s="16" t="s">
        <v>10</v>
      </c>
      <c r="I524" s="62">
        <v>0.42</v>
      </c>
      <c r="J524" s="80">
        <f t="shared" si="459"/>
        <v>8.6810526315789449</v>
      </c>
      <c r="K524" s="23">
        <v>47.5</v>
      </c>
      <c r="L524" s="23">
        <f t="shared" si="460"/>
        <v>412.34999999999991</v>
      </c>
      <c r="M524" s="23">
        <v>15.5</v>
      </c>
      <c r="N524" s="23">
        <f t="shared" si="461"/>
        <v>320.37218045112775</v>
      </c>
      <c r="O524" s="23">
        <f t="shared" si="462"/>
        <v>732.72218045112766</v>
      </c>
      <c r="P524" s="46"/>
    </row>
    <row r="525" spans="1:16" x14ac:dyDescent="0.25">
      <c r="A525" s="60">
        <f>IF(G525&lt;&gt;"",1+MAX($A$13:A524),"")</f>
        <v>357</v>
      </c>
      <c r="C525" s="16" t="s">
        <v>49</v>
      </c>
      <c r="D525" s="59" t="s">
        <v>129</v>
      </c>
      <c r="E525" s="31">
        <f>E522*3</f>
        <v>82.47</v>
      </c>
      <c r="F525" s="39">
        <f>VLOOKUP(H525,'PROJECT SUMMARY'!$C$26:$D$32,2,0)</f>
        <v>0.05</v>
      </c>
      <c r="G525" s="31">
        <f t="shared" si="458"/>
        <v>86.593500000000006</v>
      </c>
      <c r="H525" s="16" t="s">
        <v>11</v>
      </c>
      <c r="I525" s="62">
        <v>3.5000000000000003E-2</v>
      </c>
      <c r="J525" s="80">
        <f t="shared" ref="J525:J526" si="463">I525*G525</f>
        <v>3.0307725000000003</v>
      </c>
      <c r="K525" s="23">
        <v>47.5</v>
      </c>
      <c r="L525" s="23">
        <f t="shared" ref="L525:L526" si="464">K525*J525</f>
        <v>143.96169375000002</v>
      </c>
      <c r="M525" s="23">
        <v>1.55</v>
      </c>
      <c r="N525" s="23">
        <f t="shared" ref="N525:N526" si="465">M525*G525</f>
        <v>134.21992500000002</v>
      </c>
      <c r="O525" s="23">
        <f t="shared" ref="O525:O526" si="466">L525+N525</f>
        <v>278.18161875000004</v>
      </c>
      <c r="P525" s="46"/>
    </row>
    <row r="526" spans="1:16" x14ac:dyDescent="0.25">
      <c r="A526" s="60">
        <f>IF(G526&lt;&gt;"",1+MAX($A$13:A525),"")</f>
        <v>358</v>
      </c>
      <c r="C526" s="16" t="s">
        <v>49</v>
      </c>
      <c r="D526" s="59" t="s">
        <v>68</v>
      </c>
      <c r="E526" s="31">
        <f>E522*4</f>
        <v>109.96</v>
      </c>
      <c r="F526" s="39">
        <f>VLOOKUP(H526,'PROJECT SUMMARY'!$C$26:$D$32,2,0)</f>
        <v>0.05</v>
      </c>
      <c r="G526" s="31">
        <f t="shared" si="458"/>
        <v>115.458</v>
      </c>
      <c r="H526" s="16" t="s">
        <v>11</v>
      </c>
      <c r="I526" s="62">
        <v>7.0000000000000001E-3</v>
      </c>
      <c r="J526" s="80">
        <f t="shared" si="463"/>
        <v>0.80820599999999998</v>
      </c>
      <c r="K526" s="23">
        <v>47.5</v>
      </c>
      <c r="L526" s="23">
        <f t="shared" si="464"/>
        <v>38.389784999999996</v>
      </c>
      <c r="M526" s="23">
        <v>0.15</v>
      </c>
      <c r="N526" s="23">
        <f t="shared" si="465"/>
        <v>17.3187</v>
      </c>
      <c r="O526" s="23">
        <f t="shared" si="466"/>
        <v>55.708484999999996</v>
      </c>
      <c r="P526" s="46"/>
    </row>
    <row r="527" spans="1:16" x14ac:dyDescent="0.25">
      <c r="A527" s="60" t="str">
        <f>IF(G527&lt;&gt;"",1+MAX($A$13:A526),"")</f>
        <v/>
      </c>
      <c r="J527" s="80"/>
      <c r="P527" s="46"/>
    </row>
    <row r="528" spans="1:16" x14ac:dyDescent="0.25">
      <c r="A528" s="60" t="str">
        <f>IF(G528&lt;&gt;"",1+MAX($A$13:A527),"")</f>
        <v/>
      </c>
      <c r="D528" s="58" t="s">
        <v>397</v>
      </c>
      <c r="E528" s="79">
        <v>27.49</v>
      </c>
      <c r="H528" s="16" t="s">
        <v>11</v>
      </c>
      <c r="J528" s="80"/>
      <c r="P528" s="46"/>
    </row>
    <row r="529" spans="1:16" x14ac:dyDescent="0.25">
      <c r="A529" s="60">
        <f>IF(G529&lt;&gt;"",1+MAX($A$13:A528),"")</f>
        <v>359</v>
      </c>
      <c r="C529" s="16" t="s">
        <v>49</v>
      </c>
      <c r="D529" s="59" t="s">
        <v>130</v>
      </c>
      <c r="E529" s="31">
        <f>E528*9.5/32</f>
        <v>8.1610937499999991</v>
      </c>
      <c r="F529" s="39">
        <f>VLOOKUP(H529,'PROJECT SUMMARY'!$C$26:$D$32,2,0)</f>
        <v>0</v>
      </c>
      <c r="G529" s="31">
        <f t="shared" ref="G529:G532" si="467">E529*(1+F529)</f>
        <v>8.1610937499999991</v>
      </c>
      <c r="H529" s="16" t="s">
        <v>10</v>
      </c>
      <c r="I529" s="62">
        <v>0.35</v>
      </c>
      <c r="J529" s="80">
        <f t="shared" ref="J529:J530" si="468">I529*G529</f>
        <v>2.8563828124999997</v>
      </c>
      <c r="K529" s="23">
        <v>47.5</v>
      </c>
      <c r="L529" s="23">
        <f t="shared" ref="L529:L530" si="469">K529*J529</f>
        <v>135.67818359374999</v>
      </c>
      <c r="M529" s="23">
        <v>11</v>
      </c>
      <c r="N529" s="23">
        <f t="shared" ref="N529:N530" si="470">M529*G529</f>
        <v>89.772031249999998</v>
      </c>
      <c r="O529" s="23">
        <f t="shared" ref="O529:O530" si="471">L529+N529</f>
        <v>225.45021484374999</v>
      </c>
      <c r="P529" s="46"/>
    </row>
    <row r="530" spans="1:16" x14ac:dyDescent="0.25">
      <c r="A530" s="60">
        <f>IF(G530&lt;&gt;"",1+MAX($A$13:A529),"")</f>
        <v>360</v>
      </c>
      <c r="C530" s="16" t="s">
        <v>49</v>
      </c>
      <c r="D530" s="59" t="s">
        <v>131</v>
      </c>
      <c r="E530" s="31">
        <f>E528/1.33</f>
        <v>20.669172932330824</v>
      </c>
      <c r="F530" s="39">
        <f>VLOOKUP(H530,'PROJECT SUMMARY'!$C$26:$D$32,2,0)</f>
        <v>0</v>
      </c>
      <c r="G530" s="31">
        <f t="shared" si="467"/>
        <v>20.669172932330824</v>
      </c>
      <c r="H530" s="16" t="s">
        <v>10</v>
      </c>
      <c r="I530" s="62">
        <v>0.42</v>
      </c>
      <c r="J530" s="80">
        <f t="shared" si="468"/>
        <v>8.6810526315789449</v>
      </c>
      <c r="K530" s="23">
        <v>47.5</v>
      </c>
      <c r="L530" s="23">
        <f t="shared" si="469"/>
        <v>412.34999999999991</v>
      </c>
      <c r="M530" s="23">
        <v>15.5</v>
      </c>
      <c r="N530" s="23">
        <f t="shared" si="470"/>
        <v>320.37218045112775</v>
      </c>
      <c r="O530" s="23">
        <f t="shared" si="471"/>
        <v>732.72218045112766</v>
      </c>
      <c r="P530" s="46"/>
    </row>
    <row r="531" spans="1:16" x14ac:dyDescent="0.25">
      <c r="A531" s="60">
        <f>IF(G531&lt;&gt;"",1+MAX($A$13:A530),"")</f>
        <v>361</v>
      </c>
      <c r="C531" s="16" t="s">
        <v>49</v>
      </c>
      <c r="D531" s="59" t="s">
        <v>129</v>
      </c>
      <c r="E531" s="31">
        <f>E528*3</f>
        <v>82.47</v>
      </c>
      <c r="F531" s="39">
        <f>VLOOKUP(H531,'PROJECT SUMMARY'!$C$26:$D$32,2,0)</f>
        <v>0.05</v>
      </c>
      <c r="G531" s="31">
        <f t="shared" si="467"/>
        <v>86.593500000000006</v>
      </c>
      <c r="H531" s="16" t="s">
        <v>11</v>
      </c>
      <c r="I531" s="62">
        <v>3.5000000000000003E-2</v>
      </c>
      <c r="J531" s="80">
        <f t="shared" ref="J531:J532" si="472">I531*G531</f>
        <v>3.0307725000000003</v>
      </c>
      <c r="K531" s="23">
        <v>47.5</v>
      </c>
      <c r="L531" s="23">
        <f t="shared" ref="L531:L532" si="473">K531*J531</f>
        <v>143.96169375000002</v>
      </c>
      <c r="M531" s="23">
        <v>1.55</v>
      </c>
      <c r="N531" s="23">
        <f t="shared" ref="N531:N532" si="474">M531*G531</f>
        <v>134.21992500000002</v>
      </c>
      <c r="O531" s="23">
        <f t="shared" ref="O531:O532" si="475">L531+N531</f>
        <v>278.18161875000004</v>
      </c>
      <c r="P531" s="46"/>
    </row>
    <row r="532" spans="1:16" x14ac:dyDescent="0.25">
      <c r="A532" s="60">
        <f>IF(G532&lt;&gt;"",1+MAX($A$13:A531),"")</f>
        <v>362</v>
      </c>
      <c r="C532" s="16" t="s">
        <v>49</v>
      </c>
      <c r="D532" s="59" t="s">
        <v>68</v>
      </c>
      <c r="E532" s="31">
        <f>E528*4</f>
        <v>109.96</v>
      </c>
      <c r="F532" s="39">
        <f>VLOOKUP(H532,'PROJECT SUMMARY'!$C$26:$D$32,2,0)</f>
        <v>0.05</v>
      </c>
      <c r="G532" s="31">
        <f t="shared" si="467"/>
        <v>115.458</v>
      </c>
      <c r="H532" s="16" t="s">
        <v>11</v>
      </c>
      <c r="I532" s="62">
        <v>7.0000000000000001E-3</v>
      </c>
      <c r="J532" s="80">
        <f t="shared" si="472"/>
        <v>0.80820599999999998</v>
      </c>
      <c r="K532" s="23">
        <v>47.5</v>
      </c>
      <c r="L532" s="23">
        <f t="shared" si="473"/>
        <v>38.389784999999996</v>
      </c>
      <c r="M532" s="23">
        <v>0.15</v>
      </c>
      <c r="N532" s="23">
        <f t="shared" si="474"/>
        <v>17.3187</v>
      </c>
      <c r="O532" s="23">
        <f t="shared" si="475"/>
        <v>55.708484999999996</v>
      </c>
      <c r="P532" s="46"/>
    </row>
    <row r="533" spans="1:16" x14ac:dyDescent="0.25">
      <c r="A533" s="60" t="str">
        <f>IF(G533&lt;&gt;"",1+MAX($A$13:A532),"")</f>
        <v/>
      </c>
      <c r="J533" s="80"/>
      <c r="P533" s="46"/>
    </row>
    <row r="534" spans="1:16" x14ac:dyDescent="0.25">
      <c r="A534" s="60" t="str">
        <f>IF(G534&lt;&gt;"",1+MAX($A$13:A533),"")</f>
        <v/>
      </c>
      <c r="D534" s="58" t="s">
        <v>397</v>
      </c>
      <c r="E534" s="79">
        <v>102.45</v>
      </c>
      <c r="H534" s="16" t="s">
        <v>11</v>
      </c>
      <c r="J534" s="80"/>
      <c r="P534" s="46"/>
    </row>
    <row r="535" spans="1:16" x14ac:dyDescent="0.25">
      <c r="A535" s="60">
        <f>IF(G535&lt;&gt;"",1+MAX($A$13:A534),"")</f>
        <v>363</v>
      </c>
      <c r="C535" s="16" t="s">
        <v>49</v>
      </c>
      <c r="D535" s="59" t="s">
        <v>132</v>
      </c>
      <c r="E535" s="31">
        <f>E534*9.5*2/32</f>
        <v>60.829687499999999</v>
      </c>
      <c r="F535" s="39">
        <f>VLOOKUP(H535,'PROJECT SUMMARY'!$C$26:$D$32,2,0)</f>
        <v>0</v>
      </c>
      <c r="G535" s="31">
        <f t="shared" ref="G535:G538" si="476">E535*(1+F535)</f>
        <v>60.829687499999999</v>
      </c>
      <c r="H535" s="16" t="s">
        <v>10</v>
      </c>
      <c r="I535" s="62">
        <v>0.35</v>
      </c>
      <c r="J535" s="80">
        <f t="shared" ref="J535:J536" si="477">I535*G535</f>
        <v>21.290390624999997</v>
      </c>
      <c r="K535" s="23">
        <v>47.5</v>
      </c>
      <c r="L535" s="23">
        <f t="shared" ref="L535:L536" si="478">K535*J535</f>
        <v>1011.2935546874999</v>
      </c>
      <c r="M535" s="23">
        <v>9.6</v>
      </c>
      <c r="N535" s="23">
        <f t="shared" ref="N535:N536" si="479">M535*G535</f>
        <v>583.96499999999992</v>
      </c>
      <c r="O535" s="23">
        <f t="shared" ref="O535:O536" si="480">L535+N535</f>
        <v>1595.2585546874998</v>
      </c>
      <c r="P535" s="46"/>
    </row>
    <row r="536" spans="1:16" x14ac:dyDescent="0.25">
      <c r="A536" s="60">
        <f>IF(G536&lt;&gt;"",1+MAX($A$13:A535),"")</f>
        <v>364</v>
      </c>
      <c r="C536" s="16" t="s">
        <v>49</v>
      </c>
      <c r="D536" s="59" t="s">
        <v>131</v>
      </c>
      <c r="E536" s="31">
        <f>E534/1.33</f>
        <v>77.030075187969928</v>
      </c>
      <c r="F536" s="39">
        <f>VLOOKUP(H536,'PROJECT SUMMARY'!$C$26:$D$32,2,0)</f>
        <v>0</v>
      </c>
      <c r="G536" s="31">
        <f t="shared" si="476"/>
        <v>77.030075187969928</v>
      </c>
      <c r="H536" s="16" t="s">
        <v>10</v>
      </c>
      <c r="I536" s="62">
        <v>0.42</v>
      </c>
      <c r="J536" s="80">
        <f t="shared" si="477"/>
        <v>32.352631578947367</v>
      </c>
      <c r="K536" s="23">
        <v>47.5</v>
      </c>
      <c r="L536" s="23">
        <f t="shared" si="478"/>
        <v>1536.75</v>
      </c>
      <c r="M536" s="23">
        <v>15.5</v>
      </c>
      <c r="N536" s="23">
        <f t="shared" si="479"/>
        <v>1193.9661654135339</v>
      </c>
      <c r="O536" s="23">
        <f t="shared" si="480"/>
        <v>2730.7161654135339</v>
      </c>
      <c r="P536" s="46"/>
    </row>
    <row r="537" spans="1:16" x14ac:dyDescent="0.25">
      <c r="A537" s="60">
        <f>IF(G537&lt;&gt;"",1+MAX($A$13:A536),"")</f>
        <v>365</v>
      </c>
      <c r="C537" s="16" t="s">
        <v>49</v>
      </c>
      <c r="D537" s="59" t="s">
        <v>129</v>
      </c>
      <c r="E537" s="31">
        <f>E534*3</f>
        <v>307.35000000000002</v>
      </c>
      <c r="F537" s="39">
        <f>VLOOKUP(H537,'PROJECT SUMMARY'!$C$26:$D$32,2,0)</f>
        <v>0.05</v>
      </c>
      <c r="G537" s="31">
        <f t="shared" si="476"/>
        <v>322.71750000000003</v>
      </c>
      <c r="H537" s="16" t="s">
        <v>11</v>
      </c>
      <c r="I537" s="62">
        <v>3.5000000000000003E-2</v>
      </c>
      <c r="J537" s="80">
        <f t="shared" ref="J537:J538" si="481">I537*G537</f>
        <v>11.295112500000002</v>
      </c>
      <c r="K537" s="23">
        <v>47.5</v>
      </c>
      <c r="L537" s="23">
        <f t="shared" ref="L537:L538" si="482">K537*J537</f>
        <v>536.51784375000011</v>
      </c>
      <c r="M537" s="23">
        <v>1.55</v>
      </c>
      <c r="N537" s="23">
        <f t="shared" ref="N537:N538" si="483">M537*G537</f>
        <v>500.21212500000007</v>
      </c>
      <c r="O537" s="23">
        <f t="shared" ref="O537:O538" si="484">L537+N537</f>
        <v>1036.7299687500001</v>
      </c>
      <c r="P537" s="46"/>
    </row>
    <row r="538" spans="1:16" x14ac:dyDescent="0.25">
      <c r="A538" s="60">
        <f>IF(G538&lt;&gt;"",1+MAX($A$13:A537),"")</f>
        <v>366</v>
      </c>
      <c r="C538" s="16" t="s">
        <v>49</v>
      </c>
      <c r="D538" s="59" t="s">
        <v>68</v>
      </c>
      <c r="E538" s="31">
        <f>E534*4</f>
        <v>409.8</v>
      </c>
      <c r="F538" s="39">
        <f>VLOOKUP(H538,'PROJECT SUMMARY'!$C$26:$D$32,2,0)</f>
        <v>0.05</v>
      </c>
      <c r="G538" s="31">
        <f t="shared" si="476"/>
        <v>430.29</v>
      </c>
      <c r="H538" s="16" t="s">
        <v>11</v>
      </c>
      <c r="I538" s="62">
        <v>7.0000000000000001E-3</v>
      </c>
      <c r="J538" s="80">
        <f t="shared" si="481"/>
        <v>3.0120300000000002</v>
      </c>
      <c r="K538" s="23">
        <v>47.5</v>
      </c>
      <c r="L538" s="23">
        <f t="shared" si="482"/>
        <v>143.071425</v>
      </c>
      <c r="M538" s="23">
        <v>0.15</v>
      </c>
      <c r="N538" s="23">
        <f t="shared" si="483"/>
        <v>64.543499999999995</v>
      </c>
      <c r="O538" s="23">
        <f t="shared" si="484"/>
        <v>207.614925</v>
      </c>
      <c r="P538" s="46"/>
    </row>
    <row r="539" spans="1:16" x14ac:dyDescent="0.25">
      <c r="A539" s="60" t="str">
        <f>IF(G539&lt;&gt;"",1+MAX($A$13:A538),"")</f>
        <v/>
      </c>
      <c r="J539" s="80"/>
      <c r="P539" s="46"/>
    </row>
    <row r="540" spans="1:16" x14ac:dyDescent="0.25">
      <c r="A540" s="60" t="str">
        <f>IF(G540&lt;&gt;"",1+MAX($A$13:A539),"")</f>
        <v/>
      </c>
      <c r="D540" s="58" t="s">
        <v>397</v>
      </c>
      <c r="E540" s="79">
        <v>58.68</v>
      </c>
      <c r="H540" s="16" t="s">
        <v>11</v>
      </c>
      <c r="J540" s="80"/>
      <c r="P540" s="46"/>
    </row>
    <row r="541" spans="1:16" x14ac:dyDescent="0.25">
      <c r="A541" s="60">
        <f>IF(G541&lt;&gt;"",1+MAX($A$13:A540),"")</f>
        <v>367</v>
      </c>
      <c r="C541" s="16" t="s">
        <v>49</v>
      </c>
      <c r="D541" s="59" t="s">
        <v>124</v>
      </c>
      <c r="E541" s="31">
        <f>E540*9.5/32</f>
        <v>17.420625000000001</v>
      </c>
      <c r="F541" s="39">
        <f>VLOOKUP(H541,'PROJECT SUMMARY'!$C$26:$D$32,2,0)</f>
        <v>0</v>
      </c>
      <c r="G541" s="31">
        <f t="shared" ref="G541:G545" si="485">E541*(1+F541)</f>
        <v>17.420625000000001</v>
      </c>
      <c r="H541" s="16" t="s">
        <v>10</v>
      </c>
      <c r="I541" s="62">
        <v>0.35</v>
      </c>
      <c r="J541" s="80">
        <f t="shared" ref="J541:J543" si="486">I541*G541</f>
        <v>6.0972187499999997</v>
      </c>
      <c r="K541" s="23">
        <v>47.5</v>
      </c>
      <c r="L541" s="23">
        <f t="shared" ref="L541:L543" si="487">K541*J541</f>
        <v>289.61789062499997</v>
      </c>
      <c r="M541" s="23">
        <v>9.6</v>
      </c>
      <c r="N541" s="23">
        <f t="shared" ref="N541:N543" si="488">M541*G541</f>
        <v>167.238</v>
      </c>
      <c r="O541" s="23">
        <f t="shared" ref="O541:O543" si="489">L541+N541</f>
        <v>456.85589062499997</v>
      </c>
      <c r="P541" s="46"/>
    </row>
    <row r="542" spans="1:16" x14ac:dyDescent="0.25">
      <c r="A542" s="60">
        <f>IF(G542&lt;&gt;"",1+MAX($A$13:A541),"")</f>
        <v>368</v>
      </c>
      <c r="C542" s="16" t="s">
        <v>49</v>
      </c>
      <c r="D542" s="59" t="s">
        <v>130</v>
      </c>
      <c r="E542" s="31">
        <f>E540*9.5/32</f>
        <v>17.420625000000001</v>
      </c>
      <c r="F542" s="39">
        <f>VLOOKUP(H542,'PROJECT SUMMARY'!$C$26:$D$32,2,0)</f>
        <v>0</v>
      </c>
      <c r="G542" s="31">
        <f t="shared" ref="G542" si="490">E542*(1+F542)</f>
        <v>17.420625000000001</v>
      </c>
      <c r="H542" s="16" t="s">
        <v>10</v>
      </c>
      <c r="I542" s="62">
        <v>0.35</v>
      </c>
      <c r="J542" s="80">
        <f t="shared" si="486"/>
        <v>6.0972187499999997</v>
      </c>
      <c r="K542" s="23">
        <v>47.5</v>
      </c>
      <c r="L542" s="23">
        <f t="shared" si="487"/>
        <v>289.61789062499997</v>
      </c>
      <c r="M542" s="23">
        <v>11</v>
      </c>
      <c r="N542" s="23">
        <f t="shared" si="488"/>
        <v>191.62687500000001</v>
      </c>
      <c r="O542" s="23">
        <f t="shared" si="489"/>
        <v>481.24476562500001</v>
      </c>
      <c r="P542" s="46"/>
    </row>
    <row r="543" spans="1:16" x14ac:dyDescent="0.25">
      <c r="A543" s="60">
        <f>IF(G543&lt;&gt;"",1+MAX($A$13:A542),"")</f>
        <v>369</v>
      </c>
      <c r="C543" s="16" t="s">
        <v>49</v>
      </c>
      <c r="D543" s="59" t="s">
        <v>131</v>
      </c>
      <c r="E543" s="31">
        <f>E540/1.33</f>
        <v>44.120300751879697</v>
      </c>
      <c r="F543" s="39">
        <f>VLOOKUP(H543,'PROJECT SUMMARY'!$C$26:$D$32,2,0)</f>
        <v>0</v>
      </c>
      <c r="G543" s="31">
        <f t="shared" si="485"/>
        <v>44.120300751879697</v>
      </c>
      <c r="H543" s="16" t="s">
        <v>10</v>
      </c>
      <c r="I543" s="62">
        <v>0.42</v>
      </c>
      <c r="J543" s="80">
        <f t="shared" si="486"/>
        <v>18.530526315789473</v>
      </c>
      <c r="K543" s="23">
        <v>47.5</v>
      </c>
      <c r="L543" s="23">
        <f t="shared" si="487"/>
        <v>880.19999999999993</v>
      </c>
      <c r="M543" s="23">
        <v>15.5</v>
      </c>
      <c r="N543" s="23">
        <f t="shared" si="488"/>
        <v>683.86466165413526</v>
      </c>
      <c r="O543" s="23">
        <f t="shared" si="489"/>
        <v>1564.0646616541353</v>
      </c>
      <c r="P543" s="46"/>
    </row>
    <row r="544" spans="1:16" x14ac:dyDescent="0.25">
      <c r="A544" s="60">
        <f>IF(G544&lt;&gt;"",1+MAX($A$13:A543),"")</f>
        <v>370</v>
      </c>
      <c r="C544" s="16" t="s">
        <v>49</v>
      </c>
      <c r="D544" s="59" t="s">
        <v>129</v>
      </c>
      <c r="E544" s="31">
        <f>E540*3</f>
        <v>176.04</v>
      </c>
      <c r="F544" s="39">
        <f>VLOOKUP(H544,'PROJECT SUMMARY'!$C$26:$D$32,2,0)</f>
        <v>0.05</v>
      </c>
      <c r="G544" s="31">
        <f t="shared" si="485"/>
        <v>184.84200000000001</v>
      </c>
      <c r="H544" s="16" t="s">
        <v>11</v>
      </c>
      <c r="I544" s="62">
        <v>3.5000000000000003E-2</v>
      </c>
      <c r="J544" s="80">
        <f t="shared" ref="J544:J545" si="491">I544*G544</f>
        <v>6.4694700000000012</v>
      </c>
      <c r="K544" s="23">
        <v>47.5</v>
      </c>
      <c r="L544" s="23">
        <f t="shared" ref="L544:L545" si="492">K544*J544</f>
        <v>307.29982500000006</v>
      </c>
      <c r="M544" s="23">
        <v>1.55</v>
      </c>
      <c r="N544" s="23">
        <f t="shared" ref="N544:N545" si="493">M544*G544</f>
        <v>286.50510000000003</v>
      </c>
      <c r="O544" s="23">
        <f t="shared" ref="O544:O545" si="494">L544+N544</f>
        <v>593.80492500000014</v>
      </c>
      <c r="P544" s="46"/>
    </row>
    <row r="545" spans="1:16" x14ac:dyDescent="0.25">
      <c r="A545" s="60">
        <f>IF(G545&lt;&gt;"",1+MAX($A$13:A544),"")</f>
        <v>371</v>
      </c>
      <c r="C545" s="16" t="s">
        <v>49</v>
      </c>
      <c r="D545" s="59" t="s">
        <v>68</v>
      </c>
      <c r="E545" s="31">
        <f>E540*4</f>
        <v>234.72</v>
      </c>
      <c r="F545" s="39">
        <f>VLOOKUP(H545,'PROJECT SUMMARY'!$C$26:$D$32,2,0)</f>
        <v>0.05</v>
      </c>
      <c r="G545" s="31">
        <f t="shared" si="485"/>
        <v>246.45600000000002</v>
      </c>
      <c r="H545" s="16" t="s">
        <v>11</v>
      </c>
      <c r="I545" s="62">
        <v>7.0000000000000001E-3</v>
      </c>
      <c r="J545" s="80">
        <f t="shared" si="491"/>
        <v>1.7251920000000001</v>
      </c>
      <c r="K545" s="23">
        <v>47.5</v>
      </c>
      <c r="L545" s="23">
        <f t="shared" si="492"/>
        <v>81.946619999999996</v>
      </c>
      <c r="M545" s="23">
        <v>0.15</v>
      </c>
      <c r="N545" s="23">
        <f t="shared" si="493"/>
        <v>36.968400000000003</v>
      </c>
      <c r="O545" s="23">
        <f t="shared" si="494"/>
        <v>118.91502</v>
      </c>
      <c r="P545" s="46"/>
    </row>
    <row r="546" spans="1:16" x14ac:dyDescent="0.25">
      <c r="A546" s="60" t="str">
        <f>IF(G546&lt;&gt;"",1+MAX($A$13:A545),"")</f>
        <v/>
      </c>
      <c r="J546" s="80"/>
      <c r="P546" s="46"/>
    </row>
    <row r="547" spans="1:16" x14ac:dyDescent="0.25">
      <c r="A547" s="60" t="str">
        <f>IF(G547&lt;&gt;"",1+MAX($A$13:A546),"")</f>
        <v/>
      </c>
      <c r="D547" s="58" t="s">
        <v>397</v>
      </c>
      <c r="E547" s="79">
        <v>16.12</v>
      </c>
      <c r="H547" s="16" t="s">
        <v>11</v>
      </c>
      <c r="J547" s="80"/>
      <c r="P547" s="46"/>
    </row>
    <row r="548" spans="1:16" x14ac:dyDescent="0.25">
      <c r="A548" s="60">
        <f>IF(G548&lt;&gt;"",1+MAX($A$13:A547),"")</f>
        <v>372</v>
      </c>
      <c r="C548" s="16" t="s">
        <v>49</v>
      </c>
      <c r="D548" s="59" t="s">
        <v>133</v>
      </c>
      <c r="E548" s="31">
        <f>E547*9.5*2/32</f>
        <v>9.5712500000000009</v>
      </c>
      <c r="F548" s="39">
        <f>VLOOKUP(H548,'PROJECT SUMMARY'!$C$26:$D$32,2,0)</f>
        <v>0</v>
      </c>
      <c r="G548" s="31">
        <f t="shared" ref="G548:G551" si="495">E548*(1+F548)</f>
        <v>9.5712500000000009</v>
      </c>
      <c r="H548" s="16" t="s">
        <v>10</v>
      </c>
      <c r="I548" s="62">
        <v>0.35</v>
      </c>
      <c r="J548" s="80">
        <f t="shared" ref="J548:J549" si="496">I548*G548</f>
        <v>3.3499375000000002</v>
      </c>
      <c r="K548" s="23">
        <v>47.5</v>
      </c>
      <c r="L548" s="23">
        <f t="shared" ref="L548:L549" si="497">K548*J548</f>
        <v>159.12203125000002</v>
      </c>
      <c r="M548" s="23">
        <v>11</v>
      </c>
      <c r="N548" s="23">
        <f t="shared" ref="N548:N549" si="498">M548*G548</f>
        <v>105.28375000000001</v>
      </c>
      <c r="O548" s="23">
        <f t="shared" ref="O548:O549" si="499">L548+N548</f>
        <v>264.40578125000002</v>
      </c>
      <c r="P548" s="46"/>
    </row>
    <row r="549" spans="1:16" x14ac:dyDescent="0.25">
      <c r="A549" s="60">
        <f>IF(G549&lt;&gt;"",1+MAX($A$13:A548),"")</f>
        <v>373</v>
      </c>
      <c r="C549" s="16" t="s">
        <v>49</v>
      </c>
      <c r="D549" s="59" t="s">
        <v>131</v>
      </c>
      <c r="E549" s="31">
        <f>E547/1.33</f>
        <v>12.1203007518797</v>
      </c>
      <c r="F549" s="39">
        <f>VLOOKUP(H549,'PROJECT SUMMARY'!$C$26:$D$32,2,0)</f>
        <v>0</v>
      </c>
      <c r="G549" s="31">
        <f t="shared" si="495"/>
        <v>12.1203007518797</v>
      </c>
      <c r="H549" s="16" t="s">
        <v>10</v>
      </c>
      <c r="I549" s="62">
        <v>0.42</v>
      </c>
      <c r="J549" s="80">
        <f t="shared" si="496"/>
        <v>5.0905263157894742</v>
      </c>
      <c r="K549" s="23">
        <v>47.5</v>
      </c>
      <c r="L549" s="23">
        <f t="shared" si="497"/>
        <v>241.80000000000004</v>
      </c>
      <c r="M549" s="23">
        <v>15.5</v>
      </c>
      <c r="N549" s="23">
        <f t="shared" si="498"/>
        <v>187.86466165413535</v>
      </c>
      <c r="O549" s="23">
        <f t="shared" si="499"/>
        <v>429.66466165413539</v>
      </c>
      <c r="P549" s="46"/>
    </row>
    <row r="550" spans="1:16" x14ac:dyDescent="0.25">
      <c r="A550" s="60">
        <f>IF(G550&lt;&gt;"",1+MAX($A$13:A549),"")</f>
        <v>374</v>
      </c>
      <c r="C550" s="16" t="s">
        <v>49</v>
      </c>
      <c r="D550" s="59" t="s">
        <v>129</v>
      </c>
      <c r="E550" s="31">
        <f>E547*3</f>
        <v>48.36</v>
      </c>
      <c r="F550" s="39">
        <f>VLOOKUP(H550,'PROJECT SUMMARY'!$C$26:$D$32,2,0)</f>
        <v>0.05</v>
      </c>
      <c r="G550" s="31">
        <f t="shared" si="495"/>
        <v>50.777999999999999</v>
      </c>
      <c r="H550" s="16" t="s">
        <v>11</v>
      </c>
      <c r="I550" s="62">
        <v>3.5000000000000003E-2</v>
      </c>
      <c r="J550" s="80">
        <f t="shared" ref="J550:J551" si="500">I550*G550</f>
        <v>1.7772300000000001</v>
      </c>
      <c r="K550" s="23">
        <v>47.5</v>
      </c>
      <c r="L550" s="23">
        <f t="shared" ref="L550:L551" si="501">K550*J550</f>
        <v>84.418424999999999</v>
      </c>
      <c r="M550" s="23">
        <v>1.55</v>
      </c>
      <c r="N550" s="23">
        <f t="shared" ref="N550:N551" si="502">M550*G550</f>
        <v>78.7059</v>
      </c>
      <c r="O550" s="23">
        <f t="shared" ref="O550:O551" si="503">L550+N550</f>
        <v>163.124325</v>
      </c>
      <c r="P550" s="46"/>
    </row>
    <row r="551" spans="1:16" x14ac:dyDescent="0.25">
      <c r="A551" s="60">
        <f>IF(G551&lt;&gt;"",1+MAX($A$13:A550),"")</f>
        <v>375</v>
      </c>
      <c r="C551" s="16" t="s">
        <v>49</v>
      </c>
      <c r="D551" s="59" t="s">
        <v>68</v>
      </c>
      <c r="E551" s="31">
        <f>E547*4</f>
        <v>64.48</v>
      </c>
      <c r="F551" s="39">
        <f>VLOOKUP(H551,'PROJECT SUMMARY'!$C$26:$D$32,2,0)</f>
        <v>0.05</v>
      </c>
      <c r="G551" s="31">
        <f t="shared" si="495"/>
        <v>67.704000000000008</v>
      </c>
      <c r="H551" s="16" t="s">
        <v>11</v>
      </c>
      <c r="I551" s="62">
        <v>7.0000000000000001E-3</v>
      </c>
      <c r="J551" s="80">
        <f t="shared" si="500"/>
        <v>0.47392800000000007</v>
      </c>
      <c r="K551" s="23">
        <v>47.5</v>
      </c>
      <c r="L551" s="23">
        <f t="shared" si="501"/>
        <v>22.511580000000002</v>
      </c>
      <c r="M551" s="23">
        <v>0.15</v>
      </c>
      <c r="N551" s="23">
        <f t="shared" si="502"/>
        <v>10.155600000000002</v>
      </c>
      <c r="O551" s="23">
        <f t="shared" si="503"/>
        <v>32.667180000000002</v>
      </c>
      <c r="P551" s="46"/>
    </row>
    <row r="552" spans="1:16" x14ac:dyDescent="0.25">
      <c r="A552" s="60" t="str">
        <f>IF(G552&lt;&gt;"",1+MAX($A$13:A551),"")</f>
        <v/>
      </c>
      <c r="J552" s="80"/>
      <c r="P552" s="46"/>
    </row>
    <row r="553" spans="1:16" x14ac:dyDescent="0.25">
      <c r="A553" s="60" t="str">
        <f>IF(G553&lt;&gt;"",1+MAX($A$13:A552),"")</f>
        <v/>
      </c>
      <c r="D553" s="58" t="s">
        <v>398</v>
      </c>
      <c r="E553" s="79">
        <v>15.68</v>
      </c>
      <c r="H553" s="16" t="s">
        <v>11</v>
      </c>
      <c r="J553" s="80"/>
      <c r="P553" s="46"/>
    </row>
    <row r="554" spans="1:16" x14ac:dyDescent="0.25">
      <c r="A554" s="60">
        <f>IF(G554&lt;&gt;"",1+MAX($A$13:A553),"")</f>
        <v>376</v>
      </c>
      <c r="C554" s="16" t="s">
        <v>49</v>
      </c>
      <c r="D554" s="59" t="s">
        <v>132</v>
      </c>
      <c r="E554" s="31">
        <f>E553*9.5*2/32</f>
        <v>9.31</v>
      </c>
      <c r="F554" s="39">
        <f>VLOOKUP(H554,'PROJECT SUMMARY'!$C$26:$D$32,2,0)</f>
        <v>0</v>
      </c>
      <c r="G554" s="31">
        <f t="shared" ref="G554:G557" si="504">E554*(1+F554)</f>
        <v>9.31</v>
      </c>
      <c r="H554" s="16" t="s">
        <v>10</v>
      </c>
      <c r="I554" s="62">
        <v>0.35</v>
      </c>
      <c r="J554" s="80">
        <f t="shared" ref="J554:J555" si="505">I554*G554</f>
        <v>3.2585000000000002</v>
      </c>
      <c r="K554" s="23">
        <v>47.5</v>
      </c>
      <c r="L554" s="23">
        <f t="shared" ref="L554:L555" si="506">K554*J554</f>
        <v>154.77875</v>
      </c>
      <c r="M554" s="23">
        <v>9.6</v>
      </c>
      <c r="N554" s="23">
        <f t="shared" ref="N554:N555" si="507">M554*G554</f>
        <v>89.376000000000005</v>
      </c>
      <c r="O554" s="23">
        <f t="shared" ref="O554:O555" si="508">L554+N554</f>
        <v>244.15475000000001</v>
      </c>
      <c r="P554" s="46"/>
    </row>
    <row r="555" spans="1:16" x14ac:dyDescent="0.25">
      <c r="A555" s="60">
        <f>IF(G555&lt;&gt;"",1+MAX($A$13:A554),"")</f>
        <v>377</v>
      </c>
      <c r="C555" s="16" t="s">
        <v>49</v>
      </c>
      <c r="D555" s="59" t="s">
        <v>131</v>
      </c>
      <c r="E555" s="31">
        <f>E553/1.33</f>
        <v>11.789473684210526</v>
      </c>
      <c r="F555" s="39">
        <f>VLOOKUP(H555,'PROJECT SUMMARY'!$C$26:$D$32,2,0)</f>
        <v>0</v>
      </c>
      <c r="G555" s="31">
        <f t="shared" si="504"/>
        <v>11.789473684210526</v>
      </c>
      <c r="H555" s="16" t="s">
        <v>10</v>
      </c>
      <c r="I555" s="62">
        <v>0.42</v>
      </c>
      <c r="J555" s="80">
        <f t="shared" si="505"/>
        <v>4.9515789473684206</v>
      </c>
      <c r="K555" s="23">
        <v>47.5</v>
      </c>
      <c r="L555" s="23">
        <f t="shared" si="506"/>
        <v>235.2</v>
      </c>
      <c r="M555" s="23">
        <v>15.5</v>
      </c>
      <c r="N555" s="23">
        <f t="shared" si="507"/>
        <v>182.73684210526315</v>
      </c>
      <c r="O555" s="23">
        <f t="shared" si="508"/>
        <v>417.93684210526317</v>
      </c>
      <c r="P555" s="46"/>
    </row>
    <row r="556" spans="1:16" x14ac:dyDescent="0.25">
      <c r="A556" s="60">
        <f>IF(G556&lt;&gt;"",1+MAX($A$13:A555),"")</f>
        <v>378</v>
      </c>
      <c r="C556" s="16" t="s">
        <v>49</v>
      </c>
      <c r="D556" s="59" t="s">
        <v>129</v>
      </c>
      <c r="E556" s="31">
        <f>E553*3</f>
        <v>47.04</v>
      </c>
      <c r="F556" s="39">
        <f>VLOOKUP(H556,'PROJECT SUMMARY'!$C$26:$D$32,2,0)</f>
        <v>0.05</v>
      </c>
      <c r="G556" s="31">
        <f t="shared" si="504"/>
        <v>49.392000000000003</v>
      </c>
      <c r="H556" s="16" t="s">
        <v>11</v>
      </c>
      <c r="I556" s="62">
        <v>3.5000000000000003E-2</v>
      </c>
      <c r="J556" s="80">
        <f t="shared" ref="J556:J557" si="509">I556*G556</f>
        <v>1.7287200000000003</v>
      </c>
      <c r="K556" s="23">
        <v>47.5</v>
      </c>
      <c r="L556" s="23">
        <f t="shared" ref="L556:L557" si="510">K556*J556</f>
        <v>82.114200000000011</v>
      </c>
      <c r="M556" s="23">
        <v>1.55</v>
      </c>
      <c r="N556" s="23">
        <f t="shared" ref="N556:N557" si="511">M556*G556</f>
        <v>76.557600000000008</v>
      </c>
      <c r="O556" s="23">
        <f t="shared" ref="O556:O557" si="512">L556+N556</f>
        <v>158.67180000000002</v>
      </c>
      <c r="P556" s="46"/>
    </row>
    <row r="557" spans="1:16" x14ac:dyDescent="0.25">
      <c r="A557" s="60">
        <f>IF(G557&lt;&gt;"",1+MAX($A$13:A556),"")</f>
        <v>379</v>
      </c>
      <c r="C557" s="16" t="s">
        <v>49</v>
      </c>
      <c r="D557" s="59" t="s">
        <v>68</v>
      </c>
      <c r="E557" s="31">
        <f>E553*4</f>
        <v>62.72</v>
      </c>
      <c r="F557" s="39">
        <f>VLOOKUP(H557,'PROJECT SUMMARY'!$C$26:$D$32,2,0)</f>
        <v>0.05</v>
      </c>
      <c r="G557" s="31">
        <f t="shared" si="504"/>
        <v>65.855999999999995</v>
      </c>
      <c r="H557" s="16" t="s">
        <v>11</v>
      </c>
      <c r="I557" s="62">
        <v>7.0000000000000001E-3</v>
      </c>
      <c r="J557" s="80">
        <f t="shared" si="509"/>
        <v>0.46099199999999996</v>
      </c>
      <c r="K557" s="23">
        <v>47.5</v>
      </c>
      <c r="L557" s="23">
        <f t="shared" si="510"/>
        <v>21.897119999999997</v>
      </c>
      <c r="M557" s="23">
        <v>0.15</v>
      </c>
      <c r="N557" s="23">
        <f t="shared" si="511"/>
        <v>9.8783999999999992</v>
      </c>
      <c r="O557" s="23">
        <f t="shared" si="512"/>
        <v>31.775519999999997</v>
      </c>
      <c r="P557" s="46"/>
    </row>
    <row r="558" spans="1:16" x14ac:dyDescent="0.25">
      <c r="A558" s="60" t="str">
        <f>IF(G558&lt;&gt;"",1+MAX($A$13:A557),"")</f>
        <v/>
      </c>
      <c r="J558" s="80"/>
      <c r="P558" s="46"/>
    </row>
    <row r="559" spans="1:16" x14ac:dyDescent="0.25">
      <c r="A559" s="60" t="str">
        <f>IF(G559&lt;&gt;"",1+MAX($A$13:A558),"")</f>
        <v/>
      </c>
      <c r="D559" s="58" t="s">
        <v>399</v>
      </c>
      <c r="E559" s="79">
        <v>38.68</v>
      </c>
      <c r="H559" s="16" t="s">
        <v>11</v>
      </c>
      <c r="J559" s="80"/>
      <c r="P559" s="46"/>
    </row>
    <row r="560" spans="1:16" x14ac:dyDescent="0.25">
      <c r="A560" s="60">
        <f>IF(G560&lt;&gt;"",1+MAX($A$13:A559),"")</f>
        <v>380</v>
      </c>
      <c r="C560" s="16" t="s">
        <v>49</v>
      </c>
      <c r="D560" s="59" t="s">
        <v>124</v>
      </c>
      <c r="E560" s="31">
        <f>E559*9.5/32</f>
        <v>11.483124999999999</v>
      </c>
      <c r="F560" s="39">
        <f>VLOOKUP(H560,'PROJECT SUMMARY'!$C$26:$D$32,2,0)</f>
        <v>0</v>
      </c>
      <c r="G560" s="31">
        <f t="shared" ref="G560:G564" si="513">E560*(1+F560)</f>
        <v>11.483124999999999</v>
      </c>
      <c r="H560" s="16" t="s">
        <v>10</v>
      </c>
      <c r="I560" s="62">
        <v>0.35</v>
      </c>
      <c r="J560" s="80">
        <f t="shared" ref="J560:J561" si="514">I560*G560</f>
        <v>4.0190937499999997</v>
      </c>
      <c r="K560" s="23">
        <v>47.5</v>
      </c>
      <c r="L560" s="23">
        <f t="shared" ref="L560:L561" si="515">K560*J560</f>
        <v>190.90695312499997</v>
      </c>
      <c r="M560" s="23">
        <v>9.6</v>
      </c>
      <c r="N560" s="23">
        <f t="shared" ref="N560:N561" si="516">M560*G560</f>
        <v>110.23799999999999</v>
      </c>
      <c r="O560" s="23">
        <f t="shared" ref="O560:O561" si="517">L560+N560</f>
        <v>301.14495312499997</v>
      </c>
      <c r="P560" s="46"/>
    </row>
    <row r="561" spans="1:16" x14ac:dyDescent="0.25">
      <c r="A561" s="60">
        <f>IF(G561&lt;&gt;"",1+MAX($A$13:A560),"")</f>
        <v>381</v>
      </c>
      <c r="C561" s="16" t="s">
        <v>49</v>
      </c>
      <c r="D561" s="59" t="s">
        <v>130</v>
      </c>
      <c r="E561" s="31">
        <f>E559*9.5/32</f>
        <v>11.483124999999999</v>
      </c>
      <c r="F561" s="39">
        <f>VLOOKUP(H561,'PROJECT SUMMARY'!$C$26:$D$32,2,0)</f>
        <v>0</v>
      </c>
      <c r="G561" s="31">
        <f t="shared" si="513"/>
        <v>11.483124999999999</v>
      </c>
      <c r="H561" s="16" t="s">
        <v>10</v>
      </c>
      <c r="I561" s="62">
        <v>0.35</v>
      </c>
      <c r="J561" s="80">
        <f t="shared" si="514"/>
        <v>4.0190937499999997</v>
      </c>
      <c r="K561" s="23">
        <v>47.5</v>
      </c>
      <c r="L561" s="23">
        <f t="shared" si="515"/>
        <v>190.90695312499997</v>
      </c>
      <c r="M561" s="23">
        <v>11</v>
      </c>
      <c r="N561" s="23">
        <f t="shared" si="516"/>
        <v>126.314375</v>
      </c>
      <c r="O561" s="23">
        <f t="shared" si="517"/>
        <v>317.22132812499996</v>
      </c>
      <c r="P561" s="46"/>
    </row>
    <row r="562" spans="1:16" x14ac:dyDescent="0.25">
      <c r="A562" s="60">
        <f>IF(G562&lt;&gt;"",1+MAX($A$13:A561),"")</f>
        <v>382</v>
      </c>
      <c r="C562" s="16" t="s">
        <v>49</v>
      </c>
      <c r="D562" s="59" t="s">
        <v>131</v>
      </c>
      <c r="E562" s="31">
        <f>E559/1.33</f>
        <v>29.082706766917291</v>
      </c>
      <c r="F562" s="39">
        <f>VLOOKUP(H562,'PROJECT SUMMARY'!$C$26:$D$32,2,0)</f>
        <v>0</v>
      </c>
      <c r="G562" s="31">
        <f t="shared" si="513"/>
        <v>29.082706766917291</v>
      </c>
      <c r="H562" s="16" t="s">
        <v>10</v>
      </c>
      <c r="I562" s="62">
        <v>0.42</v>
      </c>
      <c r="J562" s="80">
        <f t="shared" ref="J562:J564" si="518">I562*G562</f>
        <v>12.214736842105262</v>
      </c>
      <c r="K562" s="23">
        <v>47.5</v>
      </c>
      <c r="L562" s="23">
        <f t="shared" ref="L562:L564" si="519">K562*J562</f>
        <v>580.19999999999993</v>
      </c>
      <c r="M562" s="23">
        <v>15.5</v>
      </c>
      <c r="N562" s="23">
        <f t="shared" ref="N562:N564" si="520">M562*G562</f>
        <v>450.78195488721798</v>
      </c>
      <c r="O562" s="23">
        <f t="shared" ref="O562:O564" si="521">L562+N562</f>
        <v>1030.9819548872179</v>
      </c>
      <c r="P562" s="46"/>
    </row>
    <row r="563" spans="1:16" x14ac:dyDescent="0.25">
      <c r="A563" s="60">
        <f>IF(G563&lt;&gt;"",1+MAX($A$13:A562),"")</f>
        <v>383</v>
      </c>
      <c r="C563" s="16" t="s">
        <v>49</v>
      </c>
      <c r="D563" s="59" t="s">
        <v>129</v>
      </c>
      <c r="E563" s="31">
        <f>E559*3</f>
        <v>116.03999999999999</v>
      </c>
      <c r="F563" s="39">
        <f>VLOOKUP(H563,'PROJECT SUMMARY'!$C$26:$D$32,2,0)</f>
        <v>0.05</v>
      </c>
      <c r="G563" s="31">
        <f t="shared" si="513"/>
        <v>121.842</v>
      </c>
      <c r="H563" s="16" t="s">
        <v>11</v>
      </c>
      <c r="I563" s="62">
        <v>3.5000000000000003E-2</v>
      </c>
      <c r="J563" s="80">
        <f t="shared" si="518"/>
        <v>4.2644700000000002</v>
      </c>
      <c r="K563" s="23">
        <v>47.5</v>
      </c>
      <c r="L563" s="23">
        <f t="shared" si="519"/>
        <v>202.56232500000002</v>
      </c>
      <c r="M563" s="23">
        <v>1.55</v>
      </c>
      <c r="N563" s="23">
        <f t="shared" si="520"/>
        <v>188.85509999999999</v>
      </c>
      <c r="O563" s="23">
        <f t="shared" si="521"/>
        <v>391.41742499999998</v>
      </c>
      <c r="P563" s="46"/>
    </row>
    <row r="564" spans="1:16" x14ac:dyDescent="0.25">
      <c r="A564" s="60">
        <f>IF(G564&lt;&gt;"",1+MAX($A$13:A563),"")</f>
        <v>384</v>
      </c>
      <c r="C564" s="16" t="s">
        <v>49</v>
      </c>
      <c r="D564" s="59" t="s">
        <v>68</v>
      </c>
      <c r="E564" s="31">
        <f>E559*4</f>
        <v>154.72</v>
      </c>
      <c r="F564" s="39">
        <f>VLOOKUP(H564,'PROJECT SUMMARY'!$C$26:$D$32,2,0)</f>
        <v>0.05</v>
      </c>
      <c r="G564" s="31">
        <f t="shared" si="513"/>
        <v>162.45600000000002</v>
      </c>
      <c r="H564" s="16" t="s">
        <v>11</v>
      </c>
      <c r="I564" s="62">
        <v>7.0000000000000001E-3</v>
      </c>
      <c r="J564" s="80">
        <f t="shared" si="518"/>
        <v>1.1371920000000002</v>
      </c>
      <c r="K564" s="23">
        <v>47.5</v>
      </c>
      <c r="L564" s="23">
        <f t="shared" si="519"/>
        <v>54.01662000000001</v>
      </c>
      <c r="M564" s="23">
        <v>0.15</v>
      </c>
      <c r="N564" s="23">
        <f t="shared" si="520"/>
        <v>24.368400000000001</v>
      </c>
      <c r="O564" s="23">
        <f t="shared" si="521"/>
        <v>78.385020000000011</v>
      </c>
      <c r="P564" s="46"/>
    </row>
    <row r="565" spans="1:16" x14ac:dyDescent="0.25">
      <c r="A565" s="60" t="str">
        <f>IF(G565&lt;&gt;"",1+MAX($A$13:A564),"")</f>
        <v/>
      </c>
      <c r="J565" s="80"/>
      <c r="P565" s="46"/>
    </row>
    <row r="566" spans="1:16" x14ac:dyDescent="0.25">
      <c r="A566" s="60" t="str">
        <f>IF(G566&lt;&gt;"",1+MAX($A$13:A565),"")</f>
        <v/>
      </c>
      <c r="D566" s="58" t="s">
        <v>400</v>
      </c>
      <c r="E566" s="79">
        <v>27.31</v>
      </c>
      <c r="H566" s="16" t="s">
        <v>11</v>
      </c>
      <c r="J566" s="80"/>
      <c r="P566" s="46"/>
    </row>
    <row r="567" spans="1:16" x14ac:dyDescent="0.25">
      <c r="A567" s="60">
        <f>IF(G567&lt;&gt;"",1+MAX($A$13:A566),"")</f>
        <v>385</v>
      </c>
      <c r="C567" s="16" t="s">
        <v>49</v>
      </c>
      <c r="D567" s="59" t="s">
        <v>132</v>
      </c>
      <c r="E567" s="31">
        <f>E566*11.167*2/32</f>
        <v>19.060673124999997</v>
      </c>
      <c r="F567" s="39">
        <f>VLOOKUP(H567,'PROJECT SUMMARY'!$C$26:$D$32,2,0)</f>
        <v>0</v>
      </c>
      <c r="G567" s="31">
        <f t="shared" ref="G567:G570" si="522">E567*(1+F567)</f>
        <v>19.060673124999997</v>
      </c>
      <c r="H567" s="16" t="s">
        <v>10</v>
      </c>
      <c r="I567" s="62">
        <v>0.35</v>
      </c>
      <c r="J567" s="80">
        <f t="shared" ref="J567:J569" si="523">I567*G567</f>
        <v>6.6712355937499987</v>
      </c>
      <c r="K567" s="23">
        <v>47.5</v>
      </c>
      <c r="L567" s="23">
        <f t="shared" ref="L567:L569" si="524">K567*J567</f>
        <v>316.88369070312496</v>
      </c>
      <c r="M567" s="23">
        <v>9.6</v>
      </c>
      <c r="N567" s="23">
        <f t="shared" ref="N567:N569" si="525">M567*G567</f>
        <v>182.98246199999997</v>
      </c>
      <c r="O567" s="23">
        <f t="shared" ref="O567:O569" si="526">L567+N567</f>
        <v>499.86615270312495</v>
      </c>
      <c r="P567" s="46"/>
    </row>
    <row r="568" spans="1:16" x14ac:dyDescent="0.25">
      <c r="A568" s="60">
        <f>IF(G568&lt;&gt;"",1+MAX($A$13:A567),"")</f>
        <v>386</v>
      </c>
      <c r="C568" s="16" t="s">
        <v>49</v>
      </c>
      <c r="D568" s="59" t="s">
        <v>128</v>
      </c>
      <c r="E568" s="31">
        <f>E566/1.33</f>
        <v>20.533834586466163</v>
      </c>
      <c r="F568" s="39">
        <f>VLOOKUP(H568,'PROJECT SUMMARY'!$C$26:$D$32,2,0)</f>
        <v>0</v>
      </c>
      <c r="G568" s="31">
        <f t="shared" si="522"/>
        <v>20.533834586466163</v>
      </c>
      <c r="H568" s="16" t="s">
        <v>10</v>
      </c>
      <c r="I568" s="62">
        <v>0.42000000000000004</v>
      </c>
      <c r="J568" s="80">
        <f t="shared" si="523"/>
        <v>8.6242105263157889</v>
      </c>
      <c r="K568" s="23">
        <v>47.5</v>
      </c>
      <c r="L568" s="23">
        <f t="shared" si="524"/>
        <v>409.65</v>
      </c>
      <c r="M568" s="23">
        <v>18.600000000000001</v>
      </c>
      <c r="N568" s="23">
        <f t="shared" si="525"/>
        <v>381.92932330827068</v>
      </c>
      <c r="O568" s="23">
        <f t="shared" si="526"/>
        <v>791.57932330827066</v>
      </c>
      <c r="P568" s="46"/>
    </row>
    <row r="569" spans="1:16" x14ac:dyDescent="0.25">
      <c r="A569" s="60">
        <f>IF(G569&lt;&gt;"",1+MAX($A$13:A568),"")</f>
        <v>387</v>
      </c>
      <c r="C569" s="16" t="s">
        <v>49</v>
      </c>
      <c r="D569" s="59" t="s">
        <v>129</v>
      </c>
      <c r="E569" s="31">
        <f>E566*3</f>
        <v>81.929999999999993</v>
      </c>
      <c r="F569" s="39">
        <f>VLOOKUP(H569,'PROJECT SUMMARY'!$C$26:$D$32,2,0)</f>
        <v>0.05</v>
      </c>
      <c r="G569" s="31">
        <f t="shared" si="522"/>
        <v>86.026499999999999</v>
      </c>
      <c r="H569" s="16" t="s">
        <v>11</v>
      </c>
      <c r="I569" s="62">
        <v>3.5000000000000003E-2</v>
      </c>
      <c r="J569" s="80">
        <f t="shared" si="523"/>
        <v>3.0109275000000002</v>
      </c>
      <c r="K569" s="23">
        <v>47.5</v>
      </c>
      <c r="L569" s="23">
        <f t="shared" si="524"/>
        <v>143.01905625000001</v>
      </c>
      <c r="M569" s="23">
        <v>1.55</v>
      </c>
      <c r="N569" s="23">
        <f t="shared" si="525"/>
        <v>133.34107499999999</v>
      </c>
      <c r="O569" s="23">
        <f t="shared" si="526"/>
        <v>276.36013124999999</v>
      </c>
      <c r="P569" s="46"/>
    </row>
    <row r="570" spans="1:16" x14ac:dyDescent="0.25">
      <c r="A570" s="60">
        <f>IF(G570&lt;&gt;"",1+MAX($A$13:A569),"")</f>
        <v>388</v>
      </c>
      <c r="C570" s="16" t="s">
        <v>49</v>
      </c>
      <c r="D570" s="59" t="s">
        <v>68</v>
      </c>
      <c r="E570" s="31">
        <f>E566*4</f>
        <v>109.24</v>
      </c>
      <c r="F570" s="39">
        <f>VLOOKUP(H570,'PROJECT SUMMARY'!$C$26:$D$32,2,0)</f>
        <v>0.05</v>
      </c>
      <c r="G570" s="31">
        <f t="shared" si="522"/>
        <v>114.702</v>
      </c>
      <c r="H570" s="16" t="s">
        <v>11</v>
      </c>
      <c r="I570" s="62">
        <v>7.0000000000000001E-3</v>
      </c>
      <c r="J570" s="80">
        <f t="shared" ref="J570" si="527">I570*G570</f>
        <v>0.80291400000000002</v>
      </c>
      <c r="K570" s="23">
        <v>47.5</v>
      </c>
      <c r="L570" s="23">
        <f t="shared" ref="L570" si="528">K570*J570</f>
        <v>38.138415000000002</v>
      </c>
      <c r="M570" s="23">
        <v>0.15</v>
      </c>
      <c r="N570" s="23">
        <f t="shared" ref="N570" si="529">M570*G570</f>
        <v>17.205299999999998</v>
      </c>
      <c r="O570" s="23">
        <f t="shared" ref="O570" si="530">L570+N570</f>
        <v>55.343715000000003</v>
      </c>
      <c r="P570" s="46"/>
    </row>
    <row r="571" spans="1:16" x14ac:dyDescent="0.25">
      <c r="A571" s="60" t="str">
        <f>IF(G571&lt;&gt;"",1+MAX($A$13:A570),"")</f>
        <v/>
      </c>
      <c r="J571" s="80"/>
      <c r="P571" s="46"/>
    </row>
    <row r="572" spans="1:16" x14ac:dyDescent="0.25">
      <c r="A572" s="60" t="str">
        <f>IF(G572&lt;&gt;"",1+MAX($A$13:A571),"")</f>
        <v/>
      </c>
      <c r="D572" s="58" t="s">
        <v>400</v>
      </c>
      <c r="E572" s="79">
        <v>30.24</v>
      </c>
      <c r="H572" s="16" t="s">
        <v>11</v>
      </c>
      <c r="J572" s="80"/>
      <c r="P572" s="46"/>
    </row>
    <row r="573" spans="1:16" x14ac:dyDescent="0.25">
      <c r="A573" s="60">
        <f>IF(G573&lt;&gt;"",1+MAX($A$13:A572),"")</f>
        <v>389</v>
      </c>
      <c r="C573" s="16" t="s">
        <v>49</v>
      </c>
      <c r="D573" s="59" t="s">
        <v>132</v>
      </c>
      <c r="E573" s="31">
        <f>E572*11.4167*2/32</f>
        <v>21.577563000000001</v>
      </c>
      <c r="F573" s="39">
        <f>VLOOKUP(H573,'PROJECT SUMMARY'!$C$26:$D$32,2,0)</f>
        <v>0</v>
      </c>
      <c r="G573" s="31">
        <f t="shared" ref="G573:G576" si="531">E573*(1+F573)</f>
        <v>21.577563000000001</v>
      </c>
      <c r="H573" s="16" t="s">
        <v>10</v>
      </c>
      <c r="I573" s="62">
        <v>0.35</v>
      </c>
      <c r="J573" s="80">
        <f t="shared" ref="J573:J575" si="532">I573*G573</f>
        <v>7.5521470500000003</v>
      </c>
      <c r="K573" s="23">
        <v>47.5</v>
      </c>
      <c r="L573" s="23">
        <f t="shared" ref="L573:L575" si="533">K573*J573</f>
        <v>358.72698487500003</v>
      </c>
      <c r="M573" s="23">
        <v>9.6</v>
      </c>
      <c r="N573" s="23">
        <f t="shared" ref="N573:N575" si="534">M573*G573</f>
        <v>207.1446048</v>
      </c>
      <c r="O573" s="23">
        <f t="shared" ref="O573:O575" si="535">L573+N573</f>
        <v>565.871589675</v>
      </c>
      <c r="P573" s="46"/>
    </row>
    <row r="574" spans="1:16" x14ac:dyDescent="0.25">
      <c r="A574" s="60">
        <f>IF(G574&lt;&gt;"",1+MAX($A$13:A573),"")</f>
        <v>390</v>
      </c>
      <c r="C574" s="16" t="s">
        <v>49</v>
      </c>
      <c r="D574" s="59" t="s">
        <v>128</v>
      </c>
      <c r="E574" s="31">
        <f>E572/1.33</f>
        <v>22.736842105263154</v>
      </c>
      <c r="F574" s="39">
        <f>VLOOKUP(H574,'PROJECT SUMMARY'!$C$26:$D$32,2,0)</f>
        <v>0</v>
      </c>
      <c r="G574" s="31">
        <f t="shared" si="531"/>
        <v>22.736842105263154</v>
      </c>
      <c r="H574" s="16" t="s">
        <v>10</v>
      </c>
      <c r="I574" s="62">
        <v>0.42000000000000004</v>
      </c>
      <c r="J574" s="80">
        <f t="shared" si="532"/>
        <v>9.5494736842105254</v>
      </c>
      <c r="K574" s="23">
        <v>47.5</v>
      </c>
      <c r="L574" s="23">
        <f t="shared" si="533"/>
        <v>453.59999999999997</v>
      </c>
      <c r="M574" s="23">
        <v>18.600000000000001</v>
      </c>
      <c r="N574" s="23">
        <f t="shared" si="534"/>
        <v>422.90526315789469</v>
      </c>
      <c r="O574" s="23">
        <f t="shared" si="535"/>
        <v>876.50526315789466</v>
      </c>
      <c r="P574" s="46"/>
    </row>
    <row r="575" spans="1:16" x14ac:dyDescent="0.25">
      <c r="A575" s="60">
        <f>IF(G575&lt;&gt;"",1+MAX($A$13:A574),"")</f>
        <v>391</v>
      </c>
      <c r="C575" s="16" t="s">
        <v>49</v>
      </c>
      <c r="D575" s="59" t="s">
        <v>129</v>
      </c>
      <c r="E575" s="31">
        <f>E572*3</f>
        <v>90.72</v>
      </c>
      <c r="F575" s="39">
        <f>VLOOKUP(H575,'PROJECT SUMMARY'!$C$26:$D$32,2,0)</f>
        <v>0.05</v>
      </c>
      <c r="G575" s="31">
        <f t="shared" si="531"/>
        <v>95.256</v>
      </c>
      <c r="H575" s="16" t="s">
        <v>11</v>
      </c>
      <c r="I575" s="62">
        <v>3.5000000000000003E-2</v>
      </c>
      <c r="J575" s="80">
        <f t="shared" si="532"/>
        <v>3.3339600000000003</v>
      </c>
      <c r="K575" s="23">
        <v>47.5</v>
      </c>
      <c r="L575" s="23">
        <f t="shared" si="533"/>
        <v>158.3631</v>
      </c>
      <c r="M575" s="23">
        <v>1.55</v>
      </c>
      <c r="N575" s="23">
        <f t="shared" si="534"/>
        <v>147.64680000000001</v>
      </c>
      <c r="O575" s="23">
        <f t="shared" si="535"/>
        <v>306.00990000000002</v>
      </c>
      <c r="P575" s="46"/>
    </row>
    <row r="576" spans="1:16" x14ac:dyDescent="0.25">
      <c r="A576" s="60">
        <f>IF(G576&lt;&gt;"",1+MAX($A$13:A575),"")</f>
        <v>392</v>
      </c>
      <c r="C576" s="16" t="s">
        <v>49</v>
      </c>
      <c r="D576" s="59" t="s">
        <v>68</v>
      </c>
      <c r="E576" s="31">
        <f>E572*4</f>
        <v>120.96</v>
      </c>
      <c r="F576" s="39">
        <f>VLOOKUP(H576,'PROJECT SUMMARY'!$C$26:$D$32,2,0)</f>
        <v>0.05</v>
      </c>
      <c r="G576" s="31">
        <f t="shared" si="531"/>
        <v>127.008</v>
      </c>
      <c r="H576" s="16" t="s">
        <v>11</v>
      </c>
      <c r="I576" s="62">
        <v>7.0000000000000001E-3</v>
      </c>
      <c r="J576" s="80">
        <f t="shared" ref="J576" si="536">I576*G576</f>
        <v>0.88905599999999996</v>
      </c>
      <c r="K576" s="23">
        <v>47.5</v>
      </c>
      <c r="L576" s="23">
        <f t="shared" ref="L576" si="537">K576*J576</f>
        <v>42.230159999999998</v>
      </c>
      <c r="M576" s="23">
        <v>0.15</v>
      </c>
      <c r="N576" s="23">
        <f t="shared" ref="N576" si="538">M576*G576</f>
        <v>19.051199999999998</v>
      </c>
      <c r="O576" s="23">
        <f t="shared" ref="O576" si="539">L576+N576</f>
        <v>61.281359999999992</v>
      </c>
      <c r="P576" s="46"/>
    </row>
    <row r="577" spans="1:16" x14ac:dyDescent="0.25">
      <c r="A577" s="60" t="str">
        <f>IF(G577&lt;&gt;"",1+MAX($A$13:A576),"")</f>
        <v/>
      </c>
      <c r="J577" s="80"/>
      <c r="P577" s="46"/>
    </row>
    <row r="578" spans="1:16" x14ac:dyDescent="0.25">
      <c r="A578" s="60" t="str">
        <f>IF(G578&lt;&gt;"",1+MAX($A$13:A577),"")</f>
        <v/>
      </c>
      <c r="D578" s="58" t="s">
        <v>401</v>
      </c>
      <c r="E578" s="79">
        <v>6.67</v>
      </c>
      <c r="H578" s="16" t="s">
        <v>11</v>
      </c>
      <c r="J578" s="80"/>
      <c r="P578" s="46"/>
    </row>
    <row r="579" spans="1:16" x14ac:dyDescent="0.25">
      <c r="A579" s="60">
        <f>IF(G579&lt;&gt;"",1+MAX($A$13:A578),"")</f>
        <v>393</v>
      </c>
      <c r="C579" s="16" t="s">
        <v>49</v>
      </c>
      <c r="D579" s="59" t="s">
        <v>124</v>
      </c>
      <c r="E579" s="31">
        <f>E578*12.583/32</f>
        <v>2.6227690625000002</v>
      </c>
      <c r="F579" s="39">
        <f>VLOOKUP(H579,'PROJECT SUMMARY'!$C$26:$D$32,2,0)</f>
        <v>0</v>
      </c>
      <c r="G579" s="31">
        <f t="shared" ref="G579:G583" si="540">E579*(1+F579)</f>
        <v>2.6227690625000002</v>
      </c>
      <c r="H579" s="16" t="s">
        <v>10</v>
      </c>
      <c r="I579" s="62">
        <v>0.35</v>
      </c>
      <c r="J579" s="80">
        <f t="shared" ref="J579:J582" si="541">I579*G579</f>
        <v>0.91796917187500005</v>
      </c>
      <c r="K579" s="23">
        <v>47.5</v>
      </c>
      <c r="L579" s="23">
        <f t="shared" ref="L579:L582" si="542">K579*J579</f>
        <v>43.603535664062505</v>
      </c>
      <c r="M579" s="23">
        <v>9.6</v>
      </c>
      <c r="N579" s="23">
        <f t="shared" ref="N579:N582" si="543">M579*G579</f>
        <v>25.178583</v>
      </c>
      <c r="O579" s="23">
        <f t="shared" ref="O579:O582" si="544">L579+N579</f>
        <v>68.782118664062509</v>
      </c>
      <c r="P579" s="46"/>
    </row>
    <row r="580" spans="1:16" x14ac:dyDescent="0.25">
      <c r="A580" s="60">
        <f>IF(G580&lt;&gt;"",1+MAX($A$13:A579),"")</f>
        <v>394</v>
      </c>
      <c r="C580" s="16" t="s">
        <v>49</v>
      </c>
      <c r="D580" s="59" t="s">
        <v>130</v>
      </c>
      <c r="E580" s="31">
        <f>E578*12.583/32</f>
        <v>2.6227690625000002</v>
      </c>
      <c r="F580" s="39">
        <f>VLOOKUP(H580,'PROJECT SUMMARY'!$C$26:$D$32,2,0)</f>
        <v>0</v>
      </c>
      <c r="G580" s="31">
        <f t="shared" si="540"/>
        <v>2.6227690625000002</v>
      </c>
      <c r="H580" s="16" t="s">
        <v>10</v>
      </c>
      <c r="I580" s="62">
        <v>0.35</v>
      </c>
      <c r="J580" s="80">
        <f t="shared" si="541"/>
        <v>0.91796917187500005</v>
      </c>
      <c r="K580" s="23">
        <v>47.5</v>
      </c>
      <c r="L580" s="23">
        <f t="shared" si="542"/>
        <v>43.603535664062505</v>
      </c>
      <c r="M580" s="23">
        <v>11</v>
      </c>
      <c r="N580" s="23">
        <f t="shared" si="543"/>
        <v>28.850459687500003</v>
      </c>
      <c r="O580" s="23">
        <f t="shared" si="544"/>
        <v>72.453995351562511</v>
      </c>
      <c r="P580" s="46"/>
    </row>
    <row r="581" spans="1:16" x14ac:dyDescent="0.25">
      <c r="A581" s="60">
        <f>IF(G581&lt;&gt;"",1+MAX($A$13:A580),"")</f>
        <v>395</v>
      </c>
      <c r="C581" s="16" t="s">
        <v>49</v>
      </c>
      <c r="D581" s="59" t="s">
        <v>128</v>
      </c>
      <c r="E581" s="31">
        <f>E578/1.33</f>
        <v>5.0150375939849621</v>
      </c>
      <c r="F581" s="39">
        <f>VLOOKUP(H581,'PROJECT SUMMARY'!$C$26:$D$32,2,0)</f>
        <v>0</v>
      </c>
      <c r="G581" s="31">
        <f t="shared" si="540"/>
        <v>5.0150375939849621</v>
      </c>
      <c r="H581" s="16" t="s">
        <v>10</v>
      </c>
      <c r="I581" s="62">
        <v>0.42000000000000004</v>
      </c>
      <c r="J581" s="80">
        <f t="shared" si="541"/>
        <v>2.1063157894736841</v>
      </c>
      <c r="K581" s="23">
        <v>47.5</v>
      </c>
      <c r="L581" s="23">
        <f t="shared" si="542"/>
        <v>100.05</v>
      </c>
      <c r="M581" s="23">
        <v>18.600000000000001</v>
      </c>
      <c r="N581" s="23">
        <f t="shared" si="543"/>
        <v>93.279699248120295</v>
      </c>
      <c r="O581" s="23">
        <f t="shared" si="544"/>
        <v>193.32969924812028</v>
      </c>
      <c r="P581" s="46"/>
    </row>
    <row r="582" spans="1:16" x14ac:dyDescent="0.25">
      <c r="A582" s="60">
        <f>IF(G582&lt;&gt;"",1+MAX($A$13:A581),"")</f>
        <v>396</v>
      </c>
      <c r="C582" s="16" t="s">
        <v>49</v>
      </c>
      <c r="D582" s="59" t="s">
        <v>129</v>
      </c>
      <c r="E582" s="31">
        <f>E578*3</f>
        <v>20.009999999999998</v>
      </c>
      <c r="F582" s="39">
        <f>VLOOKUP(H582,'PROJECT SUMMARY'!$C$26:$D$32,2,0)</f>
        <v>0.05</v>
      </c>
      <c r="G582" s="31">
        <f t="shared" si="540"/>
        <v>21.0105</v>
      </c>
      <c r="H582" s="16" t="s">
        <v>11</v>
      </c>
      <c r="I582" s="62">
        <v>3.5000000000000003E-2</v>
      </c>
      <c r="J582" s="80">
        <f t="shared" si="541"/>
        <v>0.73536750000000006</v>
      </c>
      <c r="K582" s="23">
        <v>47.5</v>
      </c>
      <c r="L582" s="23">
        <f t="shared" si="542"/>
        <v>34.929956250000004</v>
      </c>
      <c r="M582" s="23">
        <v>1.55</v>
      </c>
      <c r="N582" s="23">
        <f t="shared" si="543"/>
        <v>32.566275000000005</v>
      </c>
      <c r="O582" s="23">
        <f t="shared" si="544"/>
        <v>67.496231250000008</v>
      </c>
      <c r="P582" s="46"/>
    </row>
    <row r="583" spans="1:16" x14ac:dyDescent="0.25">
      <c r="A583" s="60">
        <f>IF(G583&lt;&gt;"",1+MAX($A$13:A582),"")</f>
        <v>397</v>
      </c>
      <c r="C583" s="16" t="s">
        <v>49</v>
      </c>
      <c r="D583" s="59" t="s">
        <v>68</v>
      </c>
      <c r="E583" s="31">
        <f>E578*4</f>
        <v>26.68</v>
      </c>
      <c r="F583" s="39">
        <f>VLOOKUP(H583,'PROJECT SUMMARY'!$C$26:$D$32,2,0)</f>
        <v>0.05</v>
      </c>
      <c r="G583" s="31">
        <f t="shared" si="540"/>
        <v>28.013999999999999</v>
      </c>
      <c r="H583" s="16" t="s">
        <v>11</v>
      </c>
      <c r="I583" s="62">
        <v>7.0000000000000001E-3</v>
      </c>
      <c r="J583" s="80">
        <f t="shared" ref="J583" si="545">I583*G583</f>
        <v>0.19609799999999999</v>
      </c>
      <c r="K583" s="23">
        <v>47.5</v>
      </c>
      <c r="L583" s="23">
        <f t="shared" ref="L583" si="546">K583*J583</f>
        <v>9.3146550000000001</v>
      </c>
      <c r="M583" s="23">
        <v>0.15</v>
      </c>
      <c r="N583" s="23">
        <f t="shared" ref="N583" si="547">M583*G583</f>
        <v>4.2020999999999997</v>
      </c>
      <c r="O583" s="23">
        <f t="shared" ref="O583" si="548">L583+N583</f>
        <v>13.516755</v>
      </c>
      <c r="P583" s="46"/>
    </row>
    <row r="584" spans="1:16" x14ac:dyDescent="0.25">
      <c r="A584" s="60" t="str">
        <f>IF(G584&lt;&gt;"",1+MAX($A$13:A583),"")</f>
        <v/>
      </c>
      <c r="J584" s="80"/>
      <c r="P584" s="46"/>
    </row>
    <row r="585" spans="1:16" x14ac:dyDescent="0.25">
      <c r="A585" s="60" t="str">
        <f>IF(G585&lt;&gt;"",1+MAX($A$13:A584),"")</f>
        <v/>
      </c>
      <c r="D585" s="58" t="s">
        <v>402</v>
      </c>
      <c r="E585" s="79">
        <v>18.54</v>
      </c>
      <c r="H585" s="16" t="s">
        <v>11</v>
      </c>
      <c r="J585" s="80"/>
      <c r="P585" s="46"/>
    </row>
    <row r="586" spans="1:16" x14ac:dyDescent="0.25">
      <c r="A586" s="60">
        <f>IF(G586&lt;&gt;"",1+MAX($A$13:A585),"")</f>
        <v>398</v>
      </c>
      <c r="C586" s="16" t="s">
        <v>49</v>
      </c>
      <c r="D586" s="59" t="s">
        <v>124</v>
      </c>
      <c r="E586" s="31">
        <f>E585*13/32</f>
        <v>7.5318749999999994</v>
      </c>
      <c r="F586" s="39">
        <f>VLOOKUP(H586,'PROJECT SUMMARY'!$C$26:$D$32,2,0)</f>
        <v>0</v>
      </c>
      <c r="G586" s="31">
        <f t="shared" ref="G586:G590" si="549">E586*(1+F586)</f>
        <v>7.5318749999999994</v>
      </c>
      <c r="H586" s="16" t="s">
        <v>10</v>
      </c>
      <c r="I586" s="62">
        <v>0.35</v>
      </c>
      <c r="J586" s="80">
        <f t="shared" ref="J586:J589" si="550">I586*G586</f>
        <v>2.6361562499999995</v>
      </c>
      <c r="K586" s="23">
        <v>47.5</v>
      </c>
      <c r="L586" s="23">
        <f t="shared" ref="L586:L589" si="551">K586*J586</f>
        <v>125.21742187499997</v>
      </c>
      <c r="M586" s="23">
        <v>9.6</v>
      </c>
      <c r="N586" s="23">
        <f t="shared" ref="N586:N589" si="552">M586*G586</f>
        <v>72.305999999999997</v>
      </c>
      <c r="O586" s="23">
        <f t="shared" ref="O586:O589" si="553">L586+N586</f>
        <v>197.52342187499997</v>
      </c>
      <c r="P586" s="46"/>
    </row>
    <row r="587" spans="1:16" x14ac:dyDescent="0.25">
      <c r="A587" s="60">
        <f>IF(G587&lt;&gt;"",1+MAX($A$13:A586),"")</f>
        <v>399</v>
      </c>
      <c r="C587" s="16" t="s">
        <v>49</v>
      </c>
      <c r="D587" s="59" t="s">
        <v>130</v>
      </c>
      <c r="E587" s="31">
        <f>E585*13/32</f>
        <v>7.5318749999999994</v>
      </c>
      <c r="F587" s="39">
        <f>VLOOKUP(H587,'PROJECT SUMMARY'!$C$26:$D$32,2,0)</f>
        <v>0</v>
      </c>
      <c r="G587" s="31">
        <f t="shared" si="549"/>
        <v>7.5318749999999994</v>
      </c>
      <c r="H587" s="16" t="s">
        <v>10</v>
      </c>
      <c r="I587" s="62">
        <v>0.35</v>
      </c>
      <c r="J587" s="80">
        <f t="shared" si="550"/>
        <v>2.6361562499999995</v>
      </c>
      <c r="K587" s="23">
        <v>47.5</v>
      </c>
      <c r="L587" s="23">
        <f t="shared" si="551"/>
        <v>125.21742187499997</v>
      </c>
      <c r="M587" s="23">
        <v>11</v>
      </c>
      <c r="N587" s="23">
        <f t="shared" si="552"/>
        <v>82.850624999999994</v>
      </c>
      <c r="O587" s="23">
        <f t="shared" si="553"/>
        <v>208.06804687499996</v>
      </c>
      <c r="P587" s="46"/>
    </row>
    <row r="588" spans="1:16" x14ac:dyDescent="0.25">
      <c r="A588" s="60">
        <f>IF(G588&lt;&gt;"",1+MAX($A$13:A587),"")</f>
        <v>400</v>
      </c>
      <c r="C588" s="16" t="s">
        <v>49</v>
      </c>
      <c r="D588" s="59" t="s">
        <v>128</v>
      </c>
      <c r="E588" s="31">
        <f>E585/1.33</f>
        <v>13.939849624060148</v>
      </c>
      <c r="F588" s="39">
        <f>VLOOKUP(H588,'PROJECT SUMMARY'!$C$26:$D$32,2,0)</f>
        <v>0</v>
      </c>
      <c r="G588" s="31">
        <f t="shared" si="549"/>
        <v>13.939849624060148</v>
      </c>
      <c r="H588" s="16" t="s">
        <v>10</v>
      </c>
      <c r="I588" s="62">
        <v>0.42000000000000004</v>
      </c>
      <c r="J588" s="80">
        <f t="shared" si="550"/>
        <v>5.8547368421052628</v>
      </c>
      <c r="K588" s="23">
        <v>47.5</v>
      </c>
      <c r="L588" s="23">
        <f t="shared" si="551"/>
        <v>278.09999999999997</v>
      </c>
      <c r="M588" s="23">
        <v>18.600000000000001</v>
      </c>
      <c r="N588" s="23">
        <f t="shared" si="552"/>
        <v>259.2812030075188</v>
      </c>
      <c r="O588" s="23">
        <f t="shared" si="553"/>
        <v>537.38120300751871</v>
      </c>
      <c r="P588" s="46"/>
    </row>
    <row r="589" spans="1:16" x14ac:dyDescent="0.25">
      <c r="A589" s="60">
        <f>IF(G589&lt;&gt;"",1+MAX($A$13:A588),"")</f>
        <v>401</v>
      </c>
      <c r="C589" s="16" t="s">
        <v>49</v>
      </c>
      <c r="D589" s="59" t="s">
        <v>129</v>
      </c>
      <c r="E589" s="31">
        <f>E585*3</f>
        <v>55.62</v>
      </c>
      <c r="F589" s="39">
        <f>VLOOKUP(H589,'PROJECT SUMMARY'!$C$26:$D$32,2,0)</f>
        <v>0.05</v>
      </c>
      <c r="G589" s="31">
        <f t="shared" si="549"/>
        <v>58.400999999999996</v>
      </c>
      <c r="H589" s="16" t="s">
        <v>11</v>
      </c>
      <c r="I589" s="62">
        <v>3.5000000000000003E-2</v>
      </c>
      <c r="J589" s="80">
        <f t="shared" si="550"/>
        <v>2.044035</v>
      </c>
      <c r="K589" s="23">
        <v>47.5</v>
      </c>
      <c r="L589" s="23">
        <f t="shared" si="551"/>
        <v>97.091662499999998</v>
      </c>
      <c r="M589" s="23">
        <v>1.55</v>
      </c>
      <c r="N589" s="23">
        <f t="shared" si="552"/>
        <v>90.521549999999991</v>
      </c>
      <c r="O589" s="23">
        <f t="shared" si="553"/>
        <v>187.61321249999997</v>
      </c>
      <c r="P589" s="46"/>
    </row>
    <row r="590" spans="1:16" x14ac:dyDescent="0.25">
      <c r="A590" s="60">
        <f>IF(G590&lt;&gt;"",1+MAX($A$13:A589),"")</f>
        <v>402</v>
      </c>
      <c r="C590" s="16" t="s">
        <v>49</v>
      </c>
      <c r="D590" s="59" t="s">
        <v>68</v>
      </c>
      <c r="E590" s="31">
        <f>E585*4</f>
        <v>74.16</v>
      </c>
      <c r="F590" s="39">
        <f>VLOOKUP(H590,'PROJECT SUMMARY'!$C$26:$D$32,2,0)</f>
        <v>0.05</v>
      </c>
      <c r="G590" s="31">
        <f t="shared" si="549"/>
        <v>77.867999999999995</v>
      </c>
      <c r="H590" s="16" t="s">
        <v>11</v>
      </c>
      <c r="I590" s="62">
        <v>7.0000000000000001E-3</v>
      </c>
      <c r="J590" s="80">
        <f t="shared" ref="J590" si="554">I590*G590</f>
        <v>0.545076</v>
      </c>
      <c r="K590" s="23">
        <v>47.5</v>
      </c>
      <c r="L590" s="23">
        <f t="shared" ref="L590" si="555">K590*J590</f>
        <v>25.891110000000001</v>
      </c>
      <c r="M590" s="23">
        <v>0.15</v>
      </c>
      <c r="N590" s="23">
        <f t="shared" ref="N590" si="556">M590*G590</f>
        <v>11.680199999999999</v>
      </c>
      <c r="O590" s="23">
        <f t="shared" ref="O590" si="557">L590+N590</f>
        <v>37.571309999999997</v>
      </c>
      <c r="P590" s="46"/>
    </row>
    <row r="591" spans="1:16" x14ac:dyDescent="0.25">
      <c r="A591" s="60" t="str">
        <f>IF(G591&lt;&gt;"",1+MAX($A$13:A590),"")</f>
        <v/>
      </c>
      <c r="J591" s="80"/>
      <c r="P591" s="46"/>
    </row>
    <row r="592" spans="1:16" x14ac:dyDescent="0.25">
      <c r="A592" s="60" t="str">
        <f>IF(G592&lt;&gt;"",1+MAX($A$13:A591),"")</f>
        <v/>
      </c>
      <c r="D592" s="58" t="s">
        <v>403</v>
      </c>
      <c r="E592" s="79">
        <v>5.34</v>
      </c>
      <c r="H592" s="16" t="s">
        <v>11</v>
      </c>
      <c r="J592" s="80"/>
      <c r="P592" s="46"/>
    </row>
    <row r="593" spans="1:16" x14ac:dyDescent="0.25">
      <c r="A593" s="60">
        <f>IF(G593&lt;&gt;"",1+MAX($A$13:A592),"")</f>
        <v>403</v>
      </c>
      <c r="C593" s="16" t="s">
        <v>49</v>
      </c>
      <c r="D593" s="59" t="s">
        <v>124</v>
      </c>
      <c r="E593" s="31">
        <f>E592*13.167/32</f>
        <v>2.197243125</v>
      </c>
      <c r="F593" s="39">
        <f>VLOOKUP(H593,'PROJECT SUMMARY'!$C$26:$D$32,2,0)</f>
        <v>0</v>
      </c>
      <c r="G593" s="31">
        <f t="shared" ref="G593:G597" si="558">E593*(1+F593)</f>
        <v>2.197243125</v>
      </c>
      <c r="H593" s="16" t="s">
        <v>10</v>
      </c>
      <c r="I593" s="62">
        <v>0.35</v>
      </c>
      <c r="J593" s="80">
        <f t="shared" ref="J593:J596" si="559">I593*G593</f>
        <v>0.7690350937499999</v>
      </c>
      <c r="K593" s="23">
        <v>47.5</v>
      </c>
      <c r="L593" s="23">
        <f t="shared" ref="L593:L596" si="560">K593*J593</f>
        <v>36.529166953124992</v>
      </c>
      <c r="M593" s="23">
        <v>9.6</v>
      </c>
      <c r="N593" s="23">
        <f t="shared" ref="N593:N596" si="561">M593*G593</f>
        <v>21.093533999999998</v>
      </c>
      <c r="O593" s="23">
        <f t="shared" ref="O593:O596" si="562">L593+N593</f>
        <v>57.622700953124991</v>
      </c>
      <c r="P593" s="46"/>
    </row>
    <row r="594" spans="1:16" x14ac:dyDescent="0.25">
      <c r="A594" s="60">
        <f>IF(G594&lt;&gt;"",1+MAX($A$13:A593),"")</f>
        <v>404</v>
      </c>
      <c r="C594" s="16" t="s">
        <v>49</v>
      </c>
      <c r="D594" s="59" t="s">
        <v>130</v>
      </c>
      <c r="E594" s="31">
        <f>E592*13.167/32</f>
        <v>2.197243125</v>
      </c>
      <c r="F594" s="39">
        <f>VLOOKUP(H594,'PROJECT SUMMARY'!$C$26:$D$32,2,0)</f>
        <v>0</v>
      </c>
      <c r="G594" s="31">
        <f t="shared" si="558"/>
        <v>2.197243125</v>
      </c>
      <c r="H594" s="16" t="s">
        <v>10</v>
      </c>
      <c r="I594" s="62">
        <v>0.35</v>
      </c>
      <c r="J594" s="80">
        <f t="shared" si="559"/>
        <v>0.7690350937499999</v>
      </c>
      <c r="K594" s="23">
        <v>47.5</v>
      </c>
      <c r="L594" s="23">
        <f t="shared" si="560"/>
        <v>36.529166953124992</v>
      </c>
      <c r="M594" s="23">
        <v>11</v>
      </c>
      <c r="N594" s="23">
        <f t="shared" si="561"/>
        <v>24.169674375</v>
      </c>
      <c r="O594" s="23">
        <f t="shared" si="562"/>
        <v>60.698841328124992</v>
      </c>
      <c r="P594" s="46"/>
    </row>
    <row r="595" spans="1:16" x14ac:dyDescent="0.25">
      <c r="A595" s="60">
        <f>IF(G595&lt;&gt;"",1+MAX($A$13:A594),"")</f>
        <v>405</v>
      </c>
      <c r="C595" s="16" t="s">
        <v>49</v>
      </c>
      <c r="D595" s="59" t="s">
        <v>128</v>
      </c>
      <c r="E595" s="31">
        <f>E592/1.33</f>
        <v>4.0150375939849621</v>
      </c>
      <c r="F595" s="39">
        <f>VLOOKUP(H595,'PROJECT SUMMARY'!$C$26:$D$32,2,0)</f>
        <v>0</v>
      </c>
      <c r="G595" s="31">
        <f t="shared" si="558"/>
        <v>4.0150375939849621</v>
      </c>
      <c r="H595" s="16" t="s">
        <v>10</v>
      </c>
      <c r="I595" s="62">
        <v>0.42000000000000004</v>
      </c>
      <c r="J595" s="80">
        <f t="shared" si="559"/>
        <v>1.6863157894736842</v>
      </c>
      <c r="K595" s="23">
        <v>47.5</v>
      </c>
      <c r="L595" s="23">
        <f t="shared" si="560"/>
        <v>80.099999999999994</v>
      </c>
      <c r="M595" s="23">
        <v>18.600000000000001</v>
      </c>
      <c r="N595" s="23">
        <f t="shared" si="561"/>
        <v>74.679699248120301</v>
      </c>
      <c r="O595" s="23">
        <f t="shared" si="562"/>
        <v>154.77969924812029</v>
      </c>
      <c r="P595" s="46"/>
    </row>
    <row r="596" spans="1:16" x14ac:dyDescent="0.25">
      <c r="A596" s="60">
        <f>IF(G596&lt;&gt;"",1+MAX($A$13:A595),"")</f>
        <v>406</v>
      </c>
      <c r="C596" s="16" t="s">
        <v>49</v>
      </c>
      <c r="D596" s="59" t="s">
        <v>129</v>
      </c>
      <c r="E596" s="31">
        <f>E592*3</f>
        <v>16.02</v>
      </c>
      <c r="F596" s="39">
        <f>VLOOKUP(H596,'PROJECT SUMMARY'!$C$26:$D$32,2,0)</f>
        <v>0.05</v>
      </c>
      <c r="G596" s="31">
        <f t="shared" si="558"/>
        <v>16.821000000000002</v>
      </c>
      <c r="H596" s="16" t="s">
        <v>11</v>
      </c>
      <c r="I596" s="62">
        <v>3.5000000000000003E-2</v>
      </c>
      <c r="J596" s="80">
        <f t="shared" si="559"/>
        <v>0.58873500000000012</v>
      </c>
      <c r="K596" s="23">
        <v>47.5</v>
      </c>
      <c r="L596" s="23">
        <f t="shared" si="560"/>
        <v>27.964912500000004</v>
      </c>
      <c r="M596" s="23">
        <v>1.55</v>
      </c>
      <c r="N596" s="23">
        <f t="shared" si="561"/>
        <v>26.072550000000003</v>
      </c>
      <c r="O596" s="23">
        <f t="shared" si="562"/>
        <v>54.037462500000004</v>
      </c>
      <c r="P596" s="46"/>
    </row>
    <row r="597" spans="1:16" x14ac:dyDescent="0.25">
      <c r="A597" s="60">
        <f>IF(G597&lt;&gt;"",1+MAX($A$13:A596),"")</f>
        <v>407</v>
      </c>
      <c r="C597" s="16" t="s">
        <v>49</v>
      </c>
      <c r="D597" s="59" t="s">
        <v>68</v>
      </c>
      <c r="E597" s="31">
        <f>E592*4</f>
        <v>21.36</v>
      </c>
      <c r="F597" s="39">
        <f>VLOOKUP(H597,'PROJECT SUMMARY'!$C$26:$D$32,2,0)</f>
        <v>0.05</v>
      </c>
      <c r="G597" s="31">
        <f t="shared" si="558"/>
        <v>22.428000000000001</v>
      </c>
      <c r="H597" s="16" t="s">
        <v>11</v>
      </c>
      <c r="I597" s="62">
        <v>7.0000000000000001E-3</v>
      </c>
      <c r="J597" s="80">
        <f t="shared" ref="J597" si="563">I597*G597</f>
        <v>0.156996</v>
      </c>
      <c r="K597" s="23">
        <v>47.5</v>
      </c>
      <c r="L597" s="23">
        <f t="shared" ref="L597" si="564">K597*J597</f>
        <v>7.4573099999999997</v>
      </c>
      <c r="M597" s="23">
        <v>0.15</v>
      </c>
      <c r="N597" s="23">
        <f t="shared" ref="N597" si="565">M597*G597</f>
        <v>3.3641999999999999</v>
      </c>
      <c r="O597" s="23">
        <f t="shared" ref="O597" si="566">L597+N597</f>
        <v>10.82151</v>
      </c>
      <c r="P597" s="46"/>
    </row>
    <row r="598" spans="1:16" x14ac:dyDescent="0.25">
      <c r="A598" s="60" t="str">
        <f>IF(G598&lt;&gt;"",1+MAX($A$13:A597),"")</f>
        <v/>
      </c>
      <c r="J598" s="80"/>
      <c r="P598" s="46"/>
    </row>
    <row r="599" spans="1:16" x14ac:dyDescent="0.25">
      <c r="A599" s="60" t="str">
        <f>IF(G599&lt;&gt;"",1+MAX($A$13:A598),"")</f>
        <v/>
      </c>
      <c r="D599" s="58" t="s">
        <v>404</v>
      </c>
      <c r="E599" s="79"/>
      <c r="J599" s="80"/>
      <c r="P599" s="46"/>
    </row>
    <row r="600" spans="1:16" x14ac:dyDescent="0.25">
      <c r="A600" s="60">
        <f>IF(G600&lt;&gt;"",1+MAX($A$13:A599),"")</f>
        <v>408</v>
      </c>
      <c r="C600" s="16" t="s">
        <v>49</v>
      </c>
      <c r="D600" s="59" t="s">
        <v>406</v>
      </c>
      <c r="E600" s="31">
        <v>660.35</v>
      </c>
      <c r="F600" s="39">
        <f>VLOOKUP(H600,'PROJECT SUMMARY'!$C$26:$D$32,2,0)</f>
        <v>0.05</v>
      </c>
      <c r="G600" s="31">
        <f t="shared" ref="G600:G601" si="567">E600*(1+F600)</f>
        <v>693.36750000000006</v>
      </c>
      <c r="H600" s="16" t="s">
        <v>12</v>
      </c>
      <c r="I600" s="62">
        <v>0.35218156916454701</v>
      </c>
      <c r="J600" s="80">
        <f t="shared" ref="J600:J601" si="568">I600*G600</f>
        <v>244.19125415769906</v>
      </c>
      <c r="K600" s="23">
        <v>47.5</v>
      </c>
      <c r="L600" s="23">
        <f t="shared" ref="L600:L601" si="569">K600*J600</f>
        <v>11599.084572490705</v>
      </c>
      <c r="M600" s="23">
        <v>25.092936802973977</v>
      </c>
      <c r="N600" s="23">
        <f t="shared" ref="N600:N601" si="570">M600*G600</f>
        <v>17398.626858736061</v>
      </c>
      <c r="O600" s="23">
        <f t="shared" ref="O600:O601" si="571">L600+N600</f>
        <v>28997.711431226766</v>
      </c>
      <c r="P600" s="46"/>
    </row>
    <row r="601" spans="1:16" x14ac:dyDescent="0.25">
      <c r="A601" s="60">
        <f>IF(G601&lt;&gt;"",1+MAX($A$13:A600),"")</f>
        <v>409</v>
      </c>
      <c r="C601" s="16" t="s">
        <v>49</v>
      </c>
      <c r="D601" s="59" t="s">
        <v>405</v>
      </c>
      <c r="E601" s="31">
        <v>660.35</v>
      </c>
      <c r="F601" s="39">
        <f>VLOOKUP(H601,'PROJECT SUMMARY'!$C$26:$D$32,2,0)</f>
        <v>0.05</v>
      </c>
      <c r="G601" s="31">
        <f t="shared" si="567"/>
        <v>693.36750000000006</v>
      </c>
      <c r="H601" s="16" t="s">
        <v>12</v>
      </c>
      <c r="I601" s="62">
        <v>1.2E-2</v>
      </c>
      <c r="J601" s="80">
        <f t="shared" si="568"/>
        <v>8.3204100000000007</v>
      </c>
      <c r="K601" s="23">
        <v>47.5</v>
      </c>
      <c r="L601" s="23">
        <f t="shared" si="569"/>
        <v>395.21947500000005</v>
      </c>
      <c r="M601" s="23">
        <v>1.97</v>
      </c>
      <c r="N601" s="23">
        <f t="shared" si="570"/>
        <v>1365.9339750000001</v>
      </c>
      <c r="O601" s="23">
        <f t="shared" si="571"/>
        <v>1761.1534500000002</v>
      </c>
      <c r="P601" s="46"/>
    </row>
    <row r="602" spans="1:16" x14ac:dyDescent="0.25">
      <c r="A602" s="60" t="str">
        <f>IF(G602&lt;&gt;"",1+MAX($A$13:A601),"")</f>
        <v/>
      </c>
      <c r="J602" s="80"/>
      <c r="P602" s="46"/>
    </row>
    <row r="603" spans="1:16" x14ac:dyDescent="0.25">
      <c r="A603" s="60" t="str">
        <f>IF(G603&lt;&gt;"",1+MAX($A$13:A602),"")</f>
        <v/>
      </c>
      <c r="D603" s="58" t="s">
        <v>404</v>
      </c>
      <c r="E603" s="79"/>
      <c r="J603" s="80"/>
      <c r="P603" s="46"/>
    </row>
    <row r="604" spans="1:16" x14ac:dyDescent="0.25">
      <c r="A604" s="60">
        <f>IF(G604&lt;&gt;"",1+MAX($A$13:A603),"")</f>
        <v>410</v>
      </c>
      <c r="C604" s="16" t="s">
        <v>49</v>
      </c>
      <c r="D604" s="59" t="s">
        <v>407</v>
      </c>
      <c r="E604" s="31">
        <f>10.74*10.25</f>
        <v>110.08500000000001</v>
      </c>
      <c r="F604" s="39">
        <f>VLOOKUP(H604,'PROJECT SUMMARY'!$C$26:$D$32,2,0)</f>
        <v>0.05</v>
      </c>
      <c r="G604" s="31">
        <f t="shared" ref="G604" si="572">E604*(1+F604)</f>
        <v>115.58925000000001</v>
      </c>
      <c r="H604" s="16" t="s">
        <v>12</v>
      </c>
      <c r="I604" s="62">
        <v>0.69027587556251213</v>
      </c>
      <c r="J604" s="80">
        <f t="shared" ref="J604" si="573">I604*G604</f>
        <v>79.788470749364109</v>
      </c>
      <c r="K604" s="23">
        <v>47.5</v>
      </c>
      <c r="L604" s="23">
        <f t="shared" ref="L604" si="574">K604*J604</f>
        <v>3789.9523605947952</v>
      </c>
      <c r="M604" s="23">
        <v>49.18215613382899</v>
      </c>
      <c r="N604" s="23">
        <f t="shared" ref="N604" si="575">M604*G604</f>
        <v>5684.9285408921933</v>
      </c>
      <c r="O604" s="23">
        <f t="shared" ref="O604" si="576">L604+N604</f>
        <v>9474.8809014869876</v>
      </c>
      <c r="P604" s="46"/>
    </row>
    <row r="605" spans="1:16" x14ac:dyDescent="0.25">
      <c r="A605" s="60" t="str">
        <f>IF(G605&lt;&gt;"",1+MAX($A$13:A604),"")</f>
        <v/>
      </c>
      <c r="D605" s="59"/>
      <c r="I605" s="62"/>
      <c r="J605" s="80"/>
      <c r="P605" s="46"/>
    </row>
    <row r="606" spans="1:16" x14ac:dyDescent="0.25">
      <c r="A606" s="60">
        <f>IF(G606&lt;&gt;"",1+MAX($A$13:A605),"")</f>
        <v>411</v>
      </c>
      <c r="C606" s="16" t="s">
        <v>49</v>
      </c>
      <c r="D606" s="59" t="s">
        <v>69</v>
      </c>
      <c r="E606" s="31">
        <f>581*24</f>
        <v>13944</v>
      </c>
      <c r="F606" s="39">
        <f>VLOOKUP(H606,'PROJECT SUMMARY'!$C$26:$D$32,2,0)</f>
        <v>0.05</v>
      </c>
      <c r="G606" s="31">
        <f>E606*(1+F606)</f>
        <v>14641.2</v>
      </c>
      <c r="H606" s="16" t="s">
        <v>11</v>
      </c>
      <c r="I606" s="62">
        <v>1.4999999999999999E-2</v>
      </c>
      <c r="J606" s="80">
        <f>I606*G606</f>
        <v>219.61799999999999</v>
      </c>
      <c r="K606" s="23">
        <v>47.5</v>
      </c>
      <c r="L606" s="23">
        <f>K606*J606</f>
        <v>10431.855</v>
      </c>
      <c r="M606" s="23">
        <v>1.4999999999999999E-2</v>
      </c>
      <c r="N606" s="23">
        <f>M606*G606</f>
        <v>219.61799999999999</v>
      </c>
      <c r="O606" s="23">
        <f>L606+N606</f>
        <v>10651.473</v>
      </c>
      <c r="P606" s="46"/>
    </row>
    <row r="607" spans="1:16" x14ac:dyDescent="0.25">
      <c r="A607" s="60">
        <f>IF(G607&lt;&gt;"",1+MAX($A$13:A606),"")</f>
        <v>412</v>
      </c>
      <c r="C607" s="16" t="s">
        <v>49</v>
      </c>
      <c r="D607" s="59" t="s">
        <v>70</v>
      </c>
      <c r="E607" s="31">
        <f>581*0.053*32</f>
        <v>985.37599999999998</v>
      </c>
      <c r="F607" s="39">
        <f>VLOOKUP(H607,'PROJECT SUMMARY'!$C$26:$D$32,2,0)</f>
        <v>0.05</v>
      </c>
      <c r="G607" s="31">
        <f>E607*(1+F607)</f>
        <v>1034.6448</v>
      </c>
      <c r="H607" s="16" t="s">
        <v>14</v>
      </c>
      <c r="I607" s="62">
        <v>0.22</v>
      </c>
      <c r="J607" s="80">
        <f>I607*G607</f>
        <v>227.62185600000001</v>
      </c>
      <c r="K607" s="23">
        <v>47.5</v>
      </c>
      <c r="L607" s="23">
        <f>K607*J607</f>
        <v>10812.03816</v>
      </c>
      <c r="M607" s="23">
        <v>0.66</v>
      </c>
      <c r="N607" s="23">
        <f>M607*G607</f>
        <v>682.86556800000005</v>
      </c>
      <c r="O607" s="23">
        <f>L607+N607</f>
        <v>11494.903727999999</v>
      </c>
      <c r="P607" s="46"/>
    </row>
    <row r="608" spans="1:16" x14ac:dyDescent="0.25">
      <c r="A608" s="60">
        <f>IF(G608&lt;&gt;"",1+MAX($A$13:A607),"")</f>
        <v>413</v>
      </c>
      <c r="C608" s="16" t="s">
        <v>49</v>
      </c>
      <c r="D608" s="59" t="s">
        <v>71</v>
      </c>
      <c r="E608" s="31">
        <f>581*45</f>
        <v>26145</v>
      </c>
      <c r="F608" s="39">
        <f>VLOOKUP(H608,'PROJECT SUMMARY'!$C$26:$D$32,2,0)</f>
        <v>0</v>
      </c>
      <c r="G608" s="31">
        <f>E608*(1+F608)</f>
        <v>26145</v>
      </c>
      <c r="H608" s="16" t="s">
        <v>10</v>
      </c>
      <c r="I608" s="62">
        <v>1E-3</v>
      </c>
      <c r="J608" s="80">
        <f>I608*G608</f>
        <v>26.145</v>
      </c>
      <c r="K608" s="23">
        <v>47.5</v>
      </c>
      <c r="L608" s="23">
        <f>K608*J608</f>
        <v>1241.8875</v>
      </c>
      <c r="M608" s="23">
        <v>0.02</v>
      </c>
      <c r="N608" s="23">
        <f>M608*G608</f>
        <v>522.9</v>
      </c>
      <c r="O608" s="23">
        <f>L608+N608</f>
        <v>1764.7874999999999</v>
      </c>
      <c r="P608" s="46"/>
    </row>
    <row r="609" spans="1:16" x14ac:dyDescent="0.25">
      <c r="A609" s="60" t="str">
        <f>IF(G609&lt;&gt;"",1+MAX($A$13:A608),"")</f>
        <v/>
      </c>
      <c r="D609" s="59"/>
      <c r="I609" s="62"/>
      <c r="J609" s="80"/>
      <c r="P609" s="46"/>
    </row>
    <row r="610" spans="1:16" x14ac:dyDescent="0.25">
      <c r="A610" s="60" t="str">
        <f>IF(G610&lt;&gt;"",1+MAX($A$13:A609),"")</f>
        <v/>
      </c>
      <c r="D610" s="58" t="s">
        <v>74</v>
      </c>
      <c r="I610" s="62"/>
      <c r="J610" s="80"/>
      <c r="P610" s="46"/>
    </row>
    <row r="611" spans="1:16" x14ac:dyDescent="0.25">
      <c r="A611" s="60">
        <f>IF(G611&lt;&gt;"",1+MAX($A$13:A610),"")</f>
        <v>414</v>
      </c>
      <c r="C611" s="16" t="s">
        <v>49</v>
      </c>
      <c r="D611" s="59" t="s">
        <v>74</v>
      </c>
      <c r="E611" s="31">
        <v>2791</v>
      </c>
      <c r="F611" s="39">
        <f>VLOOKUP(H611,'PROJECT SUMMARY'!$C$26:$D$32,2,0)</f>
        <v>0.05</v>
      </c>
      <c r="G611" s="31">
        <f>E611*(1+F611)</f>
        <v>2930.55</v>
      </c>
      <c r="H611" s="16" t="s">
        <v>11</v>
      </c>
      <c r="I611" s="62">
        <v>0.04</v>
      </c>
      <c r="J611" s="80">
        <f t="shared" ref="J611" si="577">I611*G611</f>
        <v>117.22200000000001</v>
      </c>
      <c r="K611" s="23">
        <v>47.5</v>
      </c>
      <c r="L611" s="23">
        <f t="shared" ref="L611" si="578">K611*J611</f>
        <v>5568.0450000000001</v>
      </c>
      <c r="M611" s="23">
        <v>1.85</v>
      </c>
      <c r="N611" s="23">
        <f>M611*G611</f>
        <v>5421.5175000000008</v>
      </c>
      <c r="O611" s="23">
        <f>L611+N611</f>
        <v>10989.5625</v>
      </c>
      <c r="P611" s="46"/>
    </row>
    <row r="612" spans="1:16" x14ac:dyDescent="0.25">
      <c r="A612" s="60" t="str">
        <f>IF(G612&lt;&gt;"",1+MAX($A$13:A611),"")</f>
        <v/>
      </c>
      <c r="D612" s="59"/>
      <c r="I612" s="62"/>
      <c r="J612" s="80"/>
      <c r="P612" s="46"/>
    </row>
    <row r="613" spans="1:16" x14ac:dyDescent="0.25">
      <c r="A613" s="60" t="str">
        <f>IF(G613&lt;&gt;"",1+MAX($A$13:A612),"")</f>
        <v/>
      </c>
      <c r="D613" s="58" t="s">
        <v>54</v>
      </c>
      <c r="I613" s="62"/>
      <c r="J613" s="80"/>
      <c r="P613" s="46"/>
    </row>
    <row r="614" spans="1:16" x14ac:dyDescent="0.25">
      <c r="A614" s="60">
        <f>IF(G614&lt;&gt;"",1+MAX($A$13:A613),"")</f>
        <v>415</v>
      </c>
      <c r="C614" s="16" t="s">
        <v>49</v>
      </c>
      <c r="D614" s="59" t="s">
        <v>328</v>
      </c>
      <c r="E614" s="31">
        <f>3077.36+1407.9</f>
        <v>4485.26</v>
      </c>
      <c r="F614" s="39">
        <f>VLOOKUP(H614,'PROJECT SUMMARY'!$C$26:$D$32,2,0)</f>
        <v>0</v>
      </c>
      <c r="G614" s="31">
        <f>E614*(1+F614)</f>
        <v>4485.26</v>
      </c>
      <c r="H614" s="16" t="s">
        <v>10</v>
      </c>
      <c r="I614" s="62">
        <v>1.0937499999999999E-2</v>
      </c>
      <c r="J614" s="80">
        <f t="shared" ref="J614:J615" si="579">I614*G614</f>
        <v>49.057531249999997</v>
      </c>
      <c r="K614" s="23">
        <v>47.5</v>
      </c>
      <c r="L614" s="23">
        <f t="shared" ref="L614:L615" si="580">K614*J614</f>
        <v>2330.2327343749998</v>
      </c>
      <c r="M614" s="23">
        <v>0.34375</v>
      </c>
      <c r="N614" s="23">
        <f>M614*G614</f>
        <v>1541.808125</v>
      </c>
      <c r="O614" s="23">
        <f>L614+N614</f>
        <v>3872.0408593749999</v>
      </c>
      <c r="P614" s="46"/>
    </row>
    <row r="615" spans="1:16" x14ac:dyDescent="0.25">
      <c r="A615" s="60">
        <f>IF(G615&lt;&gt;"",1+MAX($A$13:A614),"")</f>
        <v>416</v>
      </c>
      <c r="C615" s="16" t="s">
        <v>49</v>
      </c>
      <c r="D615" s="59" t="s">
        <v>329</v>
      </c>
      <c r="E615" s="31">
        <v>1099.54</v>
      </c>
      <c r="F615" s="39">
        <f>VLOOKUP(H615,'PROJECT SUMMARY'!$C$26:$D$32,2,0)</f>
        <v>0</v>
      </c>
      <c r="G615" s="31">
        <f t="shared" ref="G615:G617" si="581">E615*(1+F615)</f>
        <v>1099.54</v>
      </c>
      <c r="H615" s="16" t="s">
        <v>10</v>
      </c>
      <c r="I615" s="62">
        <v>1.0937499999999999E-2</v>
      </c>
      <c r="J615" s="80">
        <f t="shared" si="579"/>
        <v>12.026218749999998</v>
      </c>
      <c r="K615" s="23">
        <v>47.5</v>
      </c>
      <c r="L615" s="23">
        <f t="shared" si="580"/>
        <v>571.24539062499991</v>
      </c>
      <c r="M615" s="23">
        <v>0.34375</v>
      </c>
      <c r="N615" s="23">
        <f t="shared" ref="N615:N617" si="582">M615*G615</f>
        <v>377.96687499999996</v>
      </c>
      <c r="O615" s="23">
        <f t="shared" ref="O615:O617" si="583">L615+N615</f>
        <v>949.21226562499987</v>
      </c>
      <c r="P615" s="46"/>
    </row>
    <row r="616" spans="1:16" x14ac:dyDescent="0.25">
      <c r="A616" s="60" t="str">
        <f>IF(G616&lt;&gt;"",1+MAX($A$13:A615),"")</f>
        <v/>
      </c>
      <c r="D616" s="59"/>
      <c r="I616" s="62"/>
      <c r="J616" s="80"/>
      <c r="P616" s="46"/>
    </row>
    <row r="617" spans="1:16" x14ac:dyDescent="0.25">
      <c r="A617" s="60">
        <f>IF(G617&lt;&gt;"",1+MAX($A$13:A616),"")</f>
        <v>417</v>
      </c>
      <c r="C617" s="16" t="s">
        <v>49</v>
      </c>
      <c r="D617" s="59" t="s">
        <v>332</v>
      </c>
      <c r="E617" s="31">
        <f>5584.8/1.33</f>
        <v>4199.0977443609017</v>
      </c>
      <c r="F617" s="39">
        <f>VLOOKUP(H617,'PROJECT SUMMARY'!$C$26:$D$32,2,0)</f>
        <v>0.05</v>
      </c>
      <c r="G617" s="31">
        <f t="shared" si="581"/>
        <v>4409.0526315789466</v>
      </c>
      <c r="H617" s="16" t="s">
        <v>11</v>
      </c>
      <c r="I617" s="62">
        <v>3.5000000000000003E-2</v>
      </c>
      <c r="J617" s="80">
        <f t="shared" ref="J617" si="584">I617*G617</f>
        <v>154.31684210526313</v>
      </c>
      <c r="K617" s="23">
        <v>47.5</v>
      </c>
      <c r="L617" s="23">
        <f t="shared" ref="L617" si="585">K617*J617</f>
        <v>7330.0499999999993</v>
      </c>
      <c r="M617" s="23">
        <v>0.88</v>
      </c>
      <c r="N617" s="23">
        <f t="shared" si="582"/>
        <v>3879.9663157894729</v>
      </c>
      <c r="O617" s="23">
        <f t="shared" si="583"/>
        <v>11210.016315789471</v>
      </c>
      <c r="P617" s="46"/>
    </row>
    <row r="618" spans="1:16" x14ac:dyDescent="0.25">
      <c r="A618" s="60" t="str">
        <f>IF(G618&lt;&gt;"",1+MAX($A$13:A617),"")</f>
        <v/>
      </c>
      <c r="D618" s="59"/>
      <c r="I618" s="62"/>
      <c r="J618" s="80"/>
      <c r="P618" s="46"/>
    </row>
    <row r="619" spans="1:16" x14ac:dyDescent="0.25">
      <c r="A619" s="60">
        <f>IF(G619&lt;&gt;"",1+MAX($A$13:A618),"")</f>
        <v>418</v>
      </c>
      <c r="C619" s="16" t="s">
        <v>49</v>
      </c>
      <c r="D619" s="59" t="s">
        <v>408</v>
      </c>
      <c r="E619" s="31">
        <v>5585</v>
      </c>
      <c r="F619" s="39">
        <f>VLOOKUP(H619,'PROJECT SUMMARY'!$C$26:$D$32,2,0)</f>
        <v>0.05</v>
      </c>
      <c r="G619" s="31">
        <f t="shared" ref="G619" si="586">E619*(1+F619)</f>
        <v>5864.25</v>
      </c>
      <c r="H619" s="16" t="s">
        <v>12</v>
      </c>
      <c r="I619" s="62">
        <v>1.2E-2</v>
      </c>
      <c r="J619" s="80">
        <f t="shared" ref="J619:J620" si="587">I619*G619</f>
        <v>70.370999999999995</v>
      </c>
      <c r="K619" s="23">
        <v>47.5</v>
      </c>
      <c r="L619" s="23">
        <f t="shared" ref="L619:L620" si="588">K619*J619</f>
        <v>3342.6224999999999</v>
      </c>
      <c r="M619" s="23">
        <v>1.97</v>
      </c>
      <c r="N619" s="23">
        <f t="shared" ref="N619:N620" si="589">M619*G619</f>
        <v>11552.5725</v>
      </c>
      <c r="O619" s="23">
        <f t="shared" ref="O619:O620" si="590">L619+N619</f>
        <v>14895.195</v>
      </c>
      <c r="P619" s="46"/>
    </row>
    <row r="620" spans="1:16" x14ac:dyDescent="0.25">
      <c r="A620" s="60">
        <f>IF(G620&lt;&gt;"",1+MAX($A$13:A619),"")</f>
        <v>419</v>
      </c>
      <c r="C620" s="16" t="s">
        <v>49</v>
      </c>
      <c r="D620" s="59" t="s">
        <v>409</v>
      </c>
      <c r="E620" s="31">
        <f>405.35*1.167</f>
        <v>473.04345000000006</v>
      </c>
      <c r="F620" s="39">
        <f>VLOOKUP(H620,'PROJECT SUMMARY'!$C$26:$D$32,2,0)</f>
        <v>0.05</v>
      </c>
      <c r="G620" s="31">
        <f t="shared" ref="G620" si="591">E620*(1+F620)</f>
        <v>496.69562250000007</v>
      </c>
      <c r="H620" s="16" t="s">
        <v>12</v>
      </c>
      <c r="I620" s="62">
        <v>0.01</v>
      </c>
      <c r="J620" s="80">
        <f t="shared" si="587"/>
        <v>4.9669562250000006</v>
      </c>
      <c r="K620" s="23">
        <v>47.5</v>
      </c>
      <c r="L620" s="23">
        <f t="shared" si="588"/>
        <v>235.93042068750003</v>
      </c>
      <c r="M620" s="23">
        <v>0.9</v>
      </c>
      <c r="N620" s="23">
        <f t="shared" si="589"/>
        <v>447.02606025000006</v>
      </c>
      <c r="O620" s="23">
        <f t="shared" si="590"/>
        <v>682.95648093750015</v>
      </c>
      <c r="P620" s="46"/>
    </row>
    <row r="621" spans="1:16" x14ac:dyDescent="0.25">
      <c r="A621" s="60" t="str">
        <f>IF(G621&lt;&gt;"",1+MAX($A$13:A620),"")</f>
        <v/>
      </c>
      <c r="I621" s="62"/>
      <c r="J621" s="80"/>
      <c r="P621" s="46"/>
    </row>
    <row r="622" spans="1:16" x14ac:dyDescent="0.25">
      <c r="A622" s="60" t="str">
        <f>IF(G622&lt;&gt;"",1+MAX($A$13:A621),"")</f>
        <v/>
      </c>
      <c r="D622" s="58" t="s">
        <v>52</v>
      </c>
      <c r="I622" s="62"/>
      <c r="J622" s="80"/>
      <c r="P622" s="46"/>
    </row>
    <row r="623" spans="1:16" x14ac:dyDescent="0.25">
      <c r="A623" s="60">
        <f>IF(G623&lt;&gt;"",1+MAX($A$13:A622),"")</f>
        <v>420</v>
      </c>
      <c r="C623" s="16" t="s">
        <v>49</v>
      </c>
      <c r="D623" s="59" t="s">
        <v>320</v>
      </c>
      <c r="E623" s="31">
        <v>1468.34</v>
      </c>
      <c r="F623" s="39">
        <f>VLOOKUP(H623,'PROJECT SUMMARY'!$C$26:$D$32,2,0)</f>
        <v>0.05</v>
      </c>
      <c r="G623" s="31">
        <f t="shared" ref="G623:G625" si="592">E623*(1+F623)</f>
        <v>1541.7570000000001</v>
      </c>
      <c r="H623" s="16" t="s">
        <v>12</v>
      </c>
      <c r="I623" s="62">
        <v>3.5000000000000003E-2</v>
      </c>
      <c r="J623" s="80">
        <f t="shared" ref="J623:J625" si="593">I623*G623</f>
        <v>53.961495000000006</v>
      </c>
      <c r="K623" s="23">
        <v>87.25</v>
      </c>
      <c r="L623" s="23">
        <f t="shared" ref="L623:L625" si="594">K623*J623</f>
        <v>4708.1404387500006</v>
      </c>
      <c r="M623" s="23">
        <v>1</v>
      </c>
      <c r="N623" s="23">
        <f t="shared" ref="N623:N625" si="595">M623*G623</f>
        <v>1541.7570000000001</v>
      </c>
      <c r="O623" s="23">
        <f t="shared" ref="O623:O625" si="596">L623+N623</f>
        <v>6249.8974387500002</v>
      </c>
      <c r="P623" s="46"/>
    </row>
    <row r="624" spans="1:16" x14ac:dyDescent="0.25">
      <c r="A624" s="60">
        <f>IF(G624&lt;&gt;"",1+MAX($A$13:A623),"")</f>
        <v>421</v>
      </c>
      <c r="C624" s="16" t="s">
        <v>49</v>
      </c>
      <c r="D624" s="59" t="s">
        <v>322</v>
      </c>
      <c r="E624" s="31">
        <v>1215.77</v>
      </c>
      <c r="F624" s="39">
        <f>VLOOKUP(H624,'PROJECT SUMMARY'!$C$26:$D$32,2,0)</f>
        <v>0.05</v>
      </c>
      <c r="G624" s="31">
        <f t="shared" si="592"/>
        <v>1276.5585000000001</v>
      </c>
      <c r="H624" s="16" t="s">
        <v>12</v>
      </c>
      <c r="I624" s="62">
        <v>3.5000000000000003E-2</v>
      </c>
      <c r="J624" s="80">
        <f t="shared" si="593"/>
        <v>44.679547500000005</v>
      </c>
      <c r="K624" s="23">
        <v>87.25</v>
      </c>
      <c r="L624" s="23">
        <f t="shared" si="594"/>
        <v>3898.2905193750003</v>
      </c>
      <c r="M624" s="23">
        <v>1</v>
      </c>
      <c r="N624" s="23">
        <f t="shared" si="595"/>
        <v>1276.5585000000001</v>
      </c>
      <c r="O624" s="23">
        <f t="shared" si="596"/>
        <v>5174.8490193750004</v>
      </c>
      <c r="P624" s="46"/>
    </row>
    <row r="625" spans="1:16" x14ac:dyDescent="0.25">
      <c r="A625" s="60">
        <f>IF(G625&lt;&gt;"",1+MAX($A$13:A624),"")</f>
        <v>422</v>
      </c>
      <c r="C625" s="16" t="s">
        <v>49</v>
      </c>
      <c r="D625" s="59" t="s">
        <v>321</v>
      </c>
      <c r="E625" s="31">
        <v>5562.54</v>
      </c>
      <c r="F625" s="39">
        <f>VLOOKUP(H625,'PROJECT SUMMARY'!$C$26:$D$32,2,0)</f>
        <v>0.05</v>
      </c>
      <c r="G625" s="31">
        <f t="shared" si="592"/>
        <v>5840.6670000000004</v>
      </c>
      <c r="H625" s="16" t="s">
        <v>12</v>
      </c>
      <c r="I625" s="62">
        <v>0.04</v>
      </c>
      <c r="J625" s="80">
        <f t="shared" si="593"/>
        <v>233.62668000000002</v>
      </c>
      <c r="K625" s="23">
        <v>87.25</v>
      </c>
      <c r="L625" s="23">
        <f t="shared" si="594"/>
        <v>20383.927830000001</v>
      </c>
      <c r="M625" s="23">
        <v>2.35</v>
      </c>
      <c r="N625" s="23">
        <f t="shared" si="595"/>
        <v>13725.567450000002</v>
      </c>
      <c r="O625" s="23">
        <f t="shared" si="596"/>
        <v>34109.495280000003</v>
      </c>
      <c r="P625" s="46"/>
    </row>
    <row r="626" spans="1:16" x14ac:dyDescent="0.25">
      <c r="A626" s="60" t="str">
        <f>IF(G626&lt;&gt;"",1+MAX($A$13:A625),"")</f>
        <v/>
      </c>
      <c r="D626" s="59"/>
      <c r="I626" s="62"/>
      <c r="J626" s="80"/>
      <c r="P626" s="46"/>
    </row>
    <row r="627" spans="1:16" x14ac:dyDescent="0.25">
      <c r="A627" s="60" t="str">
        <f>IF(G627&lt;&gt;"",1+MAX($A$13:A626),"")</f>
        <v/>
      </c>
      <c r="D627" s="58" t="s">
        <v>53</v>
      </c>
      <c r="I627" s="62"/>
      <c r="J627" s="80"/>
      <c r="P627" s="46"/>
    </row>
    <row r="628" spans="1:16" x14ac:dyDescent="0.25">
      <c r="A628" s="60">
        <f>IF(G628&lt;&gt;"",1+MAX($A$13:A627),"")</f>
        <v>423</v>
      </c>
      <c r="C628" s="16" t="s">
        <v>49</v>
      </c>
      <c r="D628" s="59" t="s">
        <v>318</v>
      </c>
      <c r="E628" s="31">
        <f>4446.34+4141.02</f>
        <v>8587.36</v>
      </c>
      <c r="F628" s="39">
        <f>VLOOKUP(H628,'PROJECT SUMMARY'!$C$26:$D$32,2,0)</f>
        <v>0.05</v>
      </c>
      <c r="G628" s="31">
        <f>E628*(1+F628)</f>
        <v>9016.728000000001</v>
      </c>
      <c r="H628" s="16" t="s">
        <v>12</v>
      </c>
      <c r="I628" s="62">
        <v>4.4999999999999998E-2</v>
      </c>
      <c r="J628" s="80">
        <f>I628*G628</f>
        <v>405.75276000000002</v>
      </c>
      <c r="K628" s="23">
        <v>87.25</v>
      </c>
      <c r="L628" s="23">
        <f>K628*J628</f>
        <v>35401.928310000003</v>
      </c>
      <c r="M628" s="23">
        <v>3.88</v>
      </c>
      <c r="N628" s="23">
        <f>M628*G628</f>
        <v>34984.904640000001</v>
      </c>
      <c r="O628" s="23">
        <f>L628+N628</f>
        <v>70386.832950000011</v>
      </c>
      <c r="P628" s="46"/>
    </row>
    <row r="629" spans="1:16" x14ac:dyDescent="0.25">
      <c r="A629" s="60">
        <f>IF(G629&lt;&gt;"",1+MAX($A$13:A628),"")</f>
        <v>424</v>
      </c>
      <c r="C629" s="16" t="s">
        <v>49</v>
      </c>
      <c r="D629" s="59" t="s">
        <v>419</v>
      </c>
      <c r="E629" s="31">
        <f>4446.34+4141.02</f>
        <v>8587.36</v>
      </c>
      <c r="F629" s="39">
        <f>VLOOKUP(H629,'PROJECT SUMMARY'!$C$26:$D$32,2,0)</f>
        <v>0.05</v>
      </c>
      <c r="G629" s="31">
        <f t="shared" ref="G629" si="597">E629*(1+F629)</f>
        <v>9016.728000000001</v>
      </c>
      <c r="H629" s="16" t="s">
        <v>12</v>
      </c>
      <c r="I629" s="62">
        <v>1.4999999999999999E-2</v>
      </c>
      <c r="J629" s="80">
        <f>I629*G629</f>
        <v>135.25092000000001</v>
      </c>
      <c r="K629" s="23">
        <v>87.25</v>
      </c>
      <c r="L629" s="23">
        <f>K629*J629</f>
        <v>11800.64277</v>
      </c>
      <c r="M629" s="23">
        <v>0.93</v>
      </c>
      <c r="N629" s="23">
        <f>M629*G629</f>
        <v>8385.5570400000015</v>
      </c>
      <c r="O629" s="23">
        <f>L629+N629</f>
        <v>20186.199810000002</v>
      </c>
      <c r="P629" s="46"/>
    </row>
    <row r="630" spans="1:16" x14ac:dyDescent="0.25">
      <c r="A630" s="60">
        <f>IF(G630&lt;&gt;"",1+MAX($A$13:A629),"")</f>
        <v>425</v>
      </c>
      <c r="C630" s="16" t="s">
        <v>49</v>
      </c>
      <c r="D630" s="59" t="s">
        <v>319</v>
      </c>
      <c r="E630" s="31">
        <v>992.06</v>
      </c>
      <c r="F630" s="39">
        <f>VLOOKUP(H630,'PROJECT SUMMARY'!$C$26:$D$32,2,0)</f>
        <v>0.05</v>
      </c>
      <c r="G630" s="31">
        <f t="shared" ref="G630" si="598">E630*(1+F630)</f>
        <v>1041.663</v>
      </c>
      <c r="H630" s="16" t="s">
        <v>12</v>
      </c>
      <c r="I630" s="62">
        <v>8.8999999999999996E-2</v>
      </c>
      <c r="J630" s="80">
        <f>I630*G630</f>
        <v>92.708006999999995</v>
      </c>
      <c r="K630" s="23">
        <v>87.25</v>
      </c>
      <c r="L630" s="23">
        <f>K630*J630</f>
        <v>8088.7736107499995</v>
      </c>
      <c r="M630" s="23">
        <v>4.7</v>
      </c>
      <c r="N630" s="23">
        <f t="shared" ref="N630" si="599">M630*G630</f>
        <v>4895.8161</v>
      </c>
      <c r="O630" s="23">
        <f t="shared" ref="O630" si="600">L630+N630</f>
        <v>12984.589710749999</v>
      </c>
      <c r="P630" s="46"/>
    </row>
    <row r="631" spans="1:16" x14ac:dyDescent="0.25">
      <c r="A631" s="60" t="str">
        <f>IF(G631&lt;&gt;"",1+MAX($A$13:A630),"")</f>
        <v/>
      </c>
      <c r="D631" s="59"/>
      <c r="I631" s="62"/>
      <c r="J631" s="80"/>
      <c r="P631" s="46"/>
    </row>
    <row r="632" spans="1:16" x14ac:dyDescent="0.25">
      <c r="A632" s="60" t="str">
        <f>IF(G632&lt;&gt;"",1+MAX($A$13:A631),"")</f>
        <v/>
      </c>
      <c r="D632" s="58" t="s">
        <v>56</v>
      </c>
      <c r="I632" s="62"/>
      <c r="J632" s="80"/>
      <c r="P632" s="46"/>
    </row>
    <row r="633" spans="1:16" x14ac:dyDescent="0.25">
      <c r="A633" s="60">
        <f>IF(G633&lt;&gt;"",1+MAX($A$13:A632),"")</f>
        <v>426</v>
      </c>
      <c r="C633" s="16" t="s">
        <v>49</v>
      </c>
      <c r="D633" s="59" t="s">
        <v>410</v>
      </c>
      <c r="E633" s="31">
        <f>(7*40.71)+(7.75*58.29)</f>
        <v>736.71749999999997</v>
      </c>
      <c r="F633" s="39">
        <f>VLOOKUP(H633,'PROJECT SUMMARY'!$C$26:$D$32,2,0)</f>
        <v>0.05</v>
      </c>
      <c r="G633" s="31">
        <f>E633*(1+F633)</f>
        <v>773.55337499999996</v>
      </c>
      <c r="H633" s="16" t="s">
        <v>12</v>
      </c>
      <c r="I633" s="62">
        <v>8.8999999999999996E-2</v>
      </c>
      <c r="J633" s="80">
        <f>I633*G633</f>
        <v>68.846250374999997</v>
      </c>
      <c r="K633" s="23">
        <v>87.25</v>
      </c>
      <c r="L633" s="23">
        <f>K633*J633</f>
        <v>6006.8353452187494</v>
      </c>
      <c r="M633" s="23">
        <v>4.7</v>
      </c>
      <c r="N633" s="23">
        <f>M633*G633</f>
        <v>3635.7008624999999</v>
      </c>
      <c r="O633" s="23">
        <f>L633+N633</f>
        <v>9642.5362077187492</v>
      </c>
      <c r="P633" s="46"/>
    </row>
    <row r="634" spans="1:16" x14ac:dyDescent="0.25">
      <c r="A634" s="60" t="str">
        <f>IF(G634&lt;&gt;"",1+MAX($A$13:A633),"")</f>
        <v/>
      </c>
      <c r="I634" s="62"/>
      <c r="J634" s="80"/>
      <c r="P634" s="46"/>
    </row>
    <row r="635" spans="1:16" x14ac:dyDescent="0.25">
      <c r="A635" s="60" t="str">
        <f>IF(G635&lt;&gt;"",1+MAX($A$13:A634),"")</f>
        <v/>
      </c>
      <c r="D635" s="58" t="s">
        <v>55</v>
      </c>
      <c r="I635" s="62"/>
      <c r="J635" s="80"/>
      <c r="P635" s="46"/>
    </row>
    <row r="636" spans="1:16" x14ac:dyDescent="0.25">
      <c r="A636" s="60">
        <f>IF(G636&lt;&gt;"",1+MAX($A$13:A635),"")</f>
        <v>427</v>
      </c>
      <c r="C636" s="16" t="s">
        <v>49</v>
      </c>
      <c r="D636" s="59" t="s">
        <v>323</v>
      </c>
      <c r="E636" s="31">
        <v>1076.51</v>
      </c>
      <c r="F636" s="39">
        <f>VLOOKUP(H636,'PROJECT SUMMARY'!$C$26:$D$32,2,0)</f>
        <v>0.05</v>
      </c>
      <c r="G636" s="31">
        <f t="shared" ref="G636" si="601">E636*(1+F636)</f>
        <v>1130.3355000000001</v>
      </c>
      <c r="H636" s="16" t="s">
        <v>11</v>
      </c>
      <c r="I636" s="62">
        <v>2.8000000000000001E-2</v>
      </c>
      <c r="J636" s="80">
        <f t="shared" ref="J636" si="602">I636*G636</f>
        <v>31.649394000000004</v>
      </c>
      <c r="K636" s="23">
        <v>87.25</v>
      </c>
      <c r="L636" s="23">
        <f t="shared" ref="L636" si="603">K636*J636</f>
        <v>2761.4096265000003</v>
      </c>
      <c r="M636" s="23">
        <v>1.1100000000000001</v>
      </c>
      <c r="N636" s="23">
        <f t="shared" ref="N636" si="604">M636*G636</f>
        <v>1254.6724050000003</v>
      </c>
      <c r="O636" s="23">
        <f t="shared" ref="O636" si="605">L636+N636</f>
        <v>4016.0820315000005</v>
      </c>
      <c r="P636" s="46"/>
    </row>
    <row r="637" spans="1:16" x14ac:dyDescent="0.25">
      <c r="A637" s="60" t="str">
        <f>IF(G637&lt;&gt;"",1+MAX($A$13:A636),"")</f>
        <v/>
      </c>
      <c r="D637" s="59"/>
      <c r="I637" s="62"/>
      <c r="J637" s="80"/>
      <c r="P637" s="46"/>
    </row>
    <row r="638" spans="1:16" ht="18.75" x14ac:dyDescent="0.25">
      <c r="A638" s="60" t="str">
        <f>IF(G638&lt;&gt;"",1+MAX($A$13:A637),"")</f>
        <v/>
      </c>
      <c r="D638" s="78" t="s">
        <v>44</v>
      </c>
      <c r="I638" s="62"/>
      <c r="J638" s="80"/>
      <c r="P638" s="46"/>
    </row>
    <row r="639" spans="1:16" x14ac:dyDescent="0.25">
      <c r="A639" s="60" t="str">
        <f>IF(G639&lt;&gt;"",1+MAX($A$13:A638),"")</f>
        <v/>
      </c>
      <c r="D639" s="59"/>
      <c r="I639" s="62"/>
      <c r="J639" s="80"/>
      <c r="P639" s="46"/>
    </row>
    <row r="640" spans="1:16" x14ac:dyDescent="0.25">
      <c r="A640" s="60" t="str">
        <f>IF(G640&lt;&gt;"",1+MAX($A$13:A639),"")</f>
        <v/>
      </c>
      <c r="D640" s="58" t="s">
        <v>60</v>
      </c>
      <c r="I640" s="62"/>
      <c r="J640" s="80"/>
      <c r="P640" s="46"/>
    </row>
    <row r="641" spans="1:16" x14ac:dyDescent="0.25">
      <c r="A641" s="60">
        <f>IF(G641&lt;&gt;"",1+MAX($A$13:A640),"")</f>
        <v>428</v>
      </c>
      <c r="C641" s="16" t="s">
        <v>49</v>
      </c>
      <c r="D641" s="59" t="s">
        <v>369</v>
      </c>
      <c r="E641" s="31">
        <v>19517.77</v>
      </c>
      <c r="F641" s="39">
        <f>VLOOKUP(H641,'PROJECT SUMMARY'!$C$26:$D$32,2,0)</f>
        <v>0.05</v>
      </c>
      <c r="G641" s="31">
        <f>E641*(1+F641)</f>
        <v>20493.658500000001</v>
      </c>
      <c r="H641" s="16" t="s">
        <v>12</v>
      </c>
      <c r="I641" s="62">
        <v>0.02</v>
      </c>
      <c r="J641" s="80">
        <f>I641*G641</f>
        <v>409.87317000000002</v>
      </c>
      <c r="K641" s="23">
        <v>35</v>
      </c>
      <c r="L641" s="23">
        <f>K641*J641</f>
        <v>14345.560950000001</v>
      </c>
      <c r="M641" s="23">
        <v>0.35</v>
      </c>
      <c r="N641" s="23">
        <f>M641*G641</f>
        <v>7172.7804749999996</v>
      </c>
      <c r="O641" s="23">
        <f>L641+N641</f>
        <v>21518.341424999999</v>
      </c>
      <c r="P641" s="46"/>
    </row>
    <row r="642" spans="1:16" x14ac:dyDescent="0.25">
      <c r="A642" s="60" t="str">
        <f>IF(G642&lt;&gt;"",1+MAX($A$13:A641),"")</f>
        <v/>
      </c>
      <c r="D642" s="59"/>
      <c r="I642" s="62"/>
      <c r="J642" s="80"/>
      <c r="P642" s="46"/>
    </row>
    <row r="643" spans="1:16" x14ac:dyDescent="0.25">
      <c r="A643" s="60" t="str">
        <f>IF(G643&lt;&gt;"",1+MAX($A$13:A642),"")</f>
        <v/>
      </c>
      <c r="D643" s="58" t="s">
        <v>72</v>
      </c>
      <c r="I643" s="62"/>
      <c r="J643" s="80"/>
      <c r="P643" s="46"/>
    </row>
    <row r="644" spans="1:16" x14ac:dyDescent="0.25">
      <c r="A644" s="60">
        <f>IF(G644&lt;&gt;"",1+MAX($A$13:A643),"")</f>
        <v>429</v>
      </c>
      <c r="C644" s="16" t="s">
        <v>49</v>
      </c>
      <c r="D644" s="59" t="s">
        <v>330</v>
      </c>
      <c r="E644" s="31">
        <v>1140.07</v>
      </c>
      <c r="F644" s="39">
        <f>VLOOKUP(H644,'PROJECT SUMMARY'!$C$26:$D$32,2,0)</f>
        <v>0.05</v>
      </c>
      <c r="G644" s="31">
        <f>E644*(1+F644)</f>
        <v>1197.0735</v>
      </c>
      <c r="H644" s="16" t="s">
        <v>12</v>
      </c>
      <c r="I644" s="62">
        <v>0.02</v>
      </c>
      <c r="J644" s="80">
        <f>I644*G644</f>
        <v>23.941469999999999</v>
      </c>
      <c r="K644" s="23">
        <v>35</v>
      </c>
      <c r="L644" s="23">
        <f>K644*J644</f>
        <v>837.95144999999991</v>
      </c>
      <c r="M644" s="23">
        <v>0.35</v>
      </c>
      <c r="N644" s="23">
        <f>M644*G644</f>
        <v>418.97572499999995</v>
      </c>
      <c r="O644" s="23">
        <f>L644+N644</f>
        <v>1256.9271749999998</v>
      </c>
      <c r="P644" s="46"/>
    </row>
    <row r="645" spans="1:16" x14ac:dyDescent="0.25">
      <c r="A645" s="60">
        <f>IF(G645&lt;&gt;"",1+MAX($A$13:A644),"")</f>
        <v>430</v>
      </c>
      <c r="C645" s="16" t="s">
        <v>49</v>
      </c>
      <c r="D645" s="59" t="s">
        <v>331</v>
      </c>
      <c r="E645" s="31">
        <v>5584.8</v>
      </c>
      <c r="F645" s="39">
        <f>VLOOKUP(H645,'PROJECT SUMMARY'!$C$26:$D$32,2,0)</f>
        <v>0.05</v>
      </c>
      <c r="G645" s="31">
        <f>E645*(1+F645)</f>
        <v>5864.0400000000009</v>
      </c>
      <c r="H645" s="16" t="s">
        <v>12</v>
      </c>
      <c r="I645" s="62">
        <v>0.02</v>
      </c>
      <c r="J645" s="80">
        <f>I645*G645</f>
        <v>117.28080000000001</v>
      </c>
      <c r="K645" s="23">
        <v>35</v>
      </c>
      <c r="L645" s="23">
        <f>K645*J645</f>
        <v>4104.8280000000004</v>
      </c>
      <c r="M645" s="23">
        <v>0.35</v>
      </c>
      <c r="N645" s="23">
        <f>M645*G645</f>
        <v>2052.4140000000002</v>
      </c>
      <c r="O645" s="23">
        <f>L645+N645</f>
        <v>6157.2420000000002</v>
      </c>
      <c r="P645" s="46"/>
    </row>
    <row r="646" spans="1:16" x14ac:dyDescent="0.25">
      <c r="A646" s="60" t="str">
        <f>IF(G646&lt;&gt;"",1+MAX($A$13:A645),"")</f>
        <v/>
      </c>
      <c r="D646" s="59"/>
      <c r="I646" s="62"/>
      <c r="J646" s="80"/>
      <c r="P646" s="46"/>
    </row>
    <row r="647" spans="1:16" x14ac:dyDescent="0.25">
      <c r="A647" s="60" t="str">
        <f>IF(G647&lt;&gt;"",1+MAX($A$13:A646),"")</f>
        <v/>
      </c>
      <c r="D647" s="58" t="s">
        <v>73</v>
      </c>
      <c r="I647" s="62"/>
      <c r="J647" s="80"/>
      <c r="P647" s="46"/>
    </row>
    <row r="648" spans="1:16" x14ac:dyDescent="0.25">
      <c r="A648" s="60">
        <f>IF(G648&lt;&gt;"",1+MAX($A$13:A647),"")</f>
        <v>431</v>
      </c>
      <c r="C648" s="16" t="s">
        <v>49</v>
      </c>
      <c r="D648" s="59" t="s">
        <v>412</v>
      </c>
      <c r="E648" s="31">
        <v>67</v>
      </c>
      <c r="F648" s="39">
        <f>VLOOKUP(H648,'PROJECT SUMMARY'!$C$26:$D$32,2,0)</f>
        <v>0</v>
      </c>
      <c r="G648" s="31">
        <f t="shared" ref="G648" si="606">E648*(1+F648)</f>
        <v>67</v>
      </c>
      <c r="H648" s="16" t="s">
        <v>10</v>
      </c>
      <c r="I648" s="62">
        <v>1.8</v>
      </c>
      <c r="J648" s="71">
        <f t="shared" ref="J648" si="607">I648*G648</f>
        <v>120.60000000000001</v>
      </c>
      <c r="K648" s="23">
        <v>35</v>
      </c>
      <c r="L648" s="23">
        <f t="shared" ref="L648" si="608">K648*J648</f>
        <v>4221</v>
      </c>
      <c r="M648" s="23">
        <v>36</v>
      </c>
      <c r="N648" s="23">
        <f t="shared" ref="N648" si="609">M648*G648</f>
        <v>2412</v>
      </c>
      <c r="O648" s="23">
        <f t="shared" ref="O648" si="610">L648+N648</f>
        <v>6633</v>
      </c>
      <c r="P648" s="46"/>
    </row>
    <row r="649" spans="1:16" x14ac:dyDescent="0.25">
      <c r="A649" s="60" t="str">
        <f>IF(G649&lt;&gt;"",1+MAX($A$13:A648),"")</f>
        <v/>
      </c>
      <c r="D649" s="59"/>
      <c r="I649" s="62"/>
      <c r="J649" s="80"/>
      <c r="P649" s="46"/>
    </row>
    <row r="650" spans="1:16" x14ac:dyDescent="0.25">
      <c r="A650" s="60" t="str">
        <f>IF(G650&lt;&gt;"",1+MAX($A$13:A649),"")</f>
        <v/>
      </c>
      <c r="D650" s="58" t="s">
        <v>79</v>
      </c>
      <c r="I650" s="62"/>
      <c r="J650" s="80"/>
      <c r="P650" s="46"/>
    </row>
    <row r="651" spans="1:16" x14ac:dyDescent="0.25">
      <c r="A651" s="60">
        <f>IF(G651&lt;&gt;"",1+MAX($A$13:A650),"")</f>
        <v>432</v>
      </c>
      <c r="C651" s="16" t="s">
        <v>49</v>
      </c>
      <c r="D651" s="59" t="s">
        <v>368</v>
      </c>
      <c r="E651" s="31">
        <f>1395.3*2</f>
        <v>2790.6</v>
      </c>
      <c r="F651" s="39">
        <f>VLOOKUP(H651,'PROJECT SUMMARY'!$C$26:$D$32,2,0)</f>
        <v>0.05</v>
      </c>
      <c r="G651" s="31">
        <f>E651*(1+F651)</f>
        <v>2930.13</v>
      </c>
      <c r="H651" s="16" t="s">
        <v>11</v>
      </c>
      <c r="I651" s="62">
        <v>2.1999999999999999E-2</v>
      </c>
      <c r="J651" s="80">
        <f t="shared" ref="J651" si="611">I651*G651</f>
        <v>64.462859999999992</v>
      </c>
      <c r="K651" s="23">
        <v>35</v>
      </c>
      <c r="L651" s="23">
        <f t="shared" ref="L651" si="612">K651*J651</f>
        <v>2256.2000999999996</v>
      </c>
      <c r="M651" s="23">
        <v>0.8</v>
      </c>
      <c r="N651" s="23">
        <f>M651*G651</f>
        <v>2344.1040000000003</v>
      </c>
      <c r="O651" s="23">
        <f>L651+N651</f>
        <v>4600.3040999999994</v>
      </c>
      <c r="P651" s="46"/>
    </row>
    <row r="652" spans="1:16" x14ac:dyDescent="0.25">
      <c r="A652" s="60" t="str">
        <f>IF(G652&lt;&gt;"",1+MAX($A$13:A651),"")</f>
        <v/>
      </c>
      <c r="D652" s="59"/>
      <c r="I652" s="62"/>
      <c r="J652" s="80"/>
      <c r="P652" s="46"/>
    </row>
    <row r="653" spans="1:16" x14ac:dyDescent="0.25">
      <c r="A653" s="60" t="str">
        <f>IF(G653&lt;&gt;"",1+MAX($A$13:A652),"")</f>
        <v/>
      </c>
      <c r="D653" s="58" t="s">
        <v>92</v>
      </c>
      <c r="I653" s="62"/>
      <c r="J653" s="80"/>
      <c r="P653" s="46"/>
    </row>
    <row r="654" spans="1:16" x14ac:dyDescent="0.25">
      <c r="A654" s="60">
        <f>IF(G654&lt;&gt;"",1+MAX($A$13:A653),"")</f>
        <v>433</v>
      </c>
      <c r="C654" s="16" t="s">
        <v>49</v>
      </c>
      <c r="D654" s="59" t="s">
        <v>411</v>
      </c>
      <c r="E654" s="31">
        <v>7755</v>
      </c>
      <c r="F654" s="39">
        <f>VLOOKUP(H654,'PROJECT SUMMARY'!$C$26:$D$32,2,0)</f>
        <v>0.05</v>
      </c>
      <c r="G654" s="31">
        <f>E654*(1+F654)</f>
        <v>8142.75</v>
      </c>
      <c r="H654" s="16" t="s">
        <v>12</v>
      </c>
      <c r="I654" s="62">
        <v>2.5000000000000001E-2</v>
      </c>
      <c r="J654" s="80">
        <f t="shared" ref="J654" si="613">I654*G654</f>
        <v>203.56875000000002</v>
      </c>
      <c r="K654" s="23">
        <v>35</v>
      </c>
      <c r="L654" s="23">
        <f t="shared" ref="L654" si="614">K654*J654</f>
        <v>7124.9062500000009</v>
      </c>
      <c r="M654" s="23">
        <v>0.55000000000000004</v>
      </c>
      <c r="N654" s="23">
        <f>M654*G654</f>
        <v>4478.5125000000007</v>
      </c>
      <c r="O654" s="23">
        <f>L654+N654</f>
        <v>11603.418750000001</v>
      </c>
      <c r="P654" s="46"/>
    </row>
    <row r="655" spans="1:16" ht="16.5" thickBot="1" x14ac:dyDescent="0.3">
      <c r="A655" s="60" t="str">
        <f>IF(G655&lt;&gt;"",1+MAX($A$13:A654),"")</f>
        <v/>
      </c>
      <c r="P655" s="46"/>
    </row>
    <row r="656" spans="1:16" ht="16.5" thickBot="1" x14ac:dyDescent="0.3">
      <c r="A656" s="87" t="str">
        <f>IF(G656&lt;&gt;"",1+MAX($A$13:A655),"")</f>
        <v/>
      </c>
      <c r="B656" s="83"/>
      <c r="C656" s="83" t="s">
        <v>57</v>
      </c>
      <c r="D656" s="81" t="s">
        <v>59</v>
      </c>
      <c r="E656" s="85"/>
      <c r="F656" s="86"/>
      <c r="G656" s="85"/>
      <c r="H656" s="85"/>
      <c r="I656" s="81"/>
      <c r="J656" s="81"/>
      <c r="K656" s="82"/>
      <c r="L656" s="82"/>
      <c r="M656" s="82"/>
      <c r="N656" s="82"/>
      <c r="O656" s="84"/>
      <c r="P656" s="88">
        <f>SUM(O657:O665)</f>
        <v>16462.351565092991</v>
      </c>
    </row>
    <row r="657" spans="1:16" x14ac:dyDescent="0.25">
      <c r="A657" s="60" t="str">
        <f>IF(G657&lt;&gt;"",1+MAX($A$13:A656),"")</f>
        <v/>
      </c>
      <c r="P657" s="46"/>
    </row>
    <row r="658" spans="1:16" x14ac:dyDescent="0.25">
      <c r="A658" s="60" t="str">
        <f>IF(G658&lt;&gt;"",1+MAX($A$13:A657),"")</f>
        <v/>
      </c>
      <c r="D658" s="58" t="s">
        <v>75</v>
      </c>
      <c r="P658" s="46"/>
    </row>
    <row r="659" spans="1:16" x14ac:dyDescent="0.25">
      <c r="A659" s="60">
        <f>IF(G659&lt;&gt;"",1+MAX($A$13:A658),"")</f>
        <v>434</v>
      </c>
      <c r="C659" s="16" t="s">
        <v>57</v>
      </c>
      <c r="D659" s="59" t="s">
        <v>305</v>
      </c>
      <c r="E659" s="31">
        <v>10</v>
      </c>
      <c r="F659" s="39">
        <f>VLOOKUP(H659,'PROJECT SUMMARY'!$C$26:$D$32,2,0)</f>
        <v>0</v>
      </c>
      <c r="G659" s="31">
        <f>E659*(1+F659)</f>
        <v>10</v>
      </c>
      <c r="H659" s="16" t="s">
        <v>10</v>
      </c>
      <c r="I659" s="62">
        <v>2.1280000000000001</v>
      </c>
      <c r="J659" s="80">
        <f>I659*G659</f>
        <v>21.28</v>
      </c>
      <c r="K659" s="23">
        <v>55</v>
      </c>
      <c r="L659" s="23">
        <f>K659*J659</f>
        <v>1170.4000000000001</v>
      </c>
      <c r="M659" s="23">
        <v>221.33333333333334</v>
      </c>
      <c r="N659" s="23">
        <f>M659*G659</f>
        <v>2213.3333333333335</v>
      </c>
      <c r="O659" s="23">
        <f>L659+N659</f>
        <v>3383.7333333333336</v>
      </c>
      <c r="P659" s="46"/>
    </row>
    <row r="660" spans="1:16" x14ac:dyDescent="0.25">
      <c r="A660" s="60">
        <f>IF(G660&lt;&gt;"",1+MAX($A$13:A659),"")</f>
        <v>435</v>
      </c>
      <c r="C660" s="16" t="s">
        <v>57</v>
      </c>
      <c r="D660" s="59" t="s">
        <v>119</v>
      </c>
      <c r="E660" s="31">
        <v>13</v>
      </c>
      <c r="F660" s="39">
        <f>VLOOKUP(H660,'PROJECT SUMMARY'!$C$26:$D$32,2,0)</f>
        <v>0</v>
      </c>
      <c r="G660" s="31">
        <f t="shared" ref="G660:G665" si="615">E660*(1+F660)</f>
        <v>13</v>
      </c>
      <c r="H660" s="16" t="s">
        <v>10</v>
      </c>
      <c r="I660" s="62">
        <v>0.95</v>
      </c>
      <c r="J660" s="80">
        <f t="shared" ref="J660:J662" si="616">I660*G660</f>
        <v>12.35</v>
      </c>
      <c r="K660" s="23">
        <v>55</v>
      </c>
      <c r="L660" s="23">
        <f t="shared" ref="L660:L662" si="617">K660*J660</f>
        <v>679.25</v>
      </c>
      <c r="M660" s="23">
        <v>85.5</v>
      </c>
      <c r="N660" s="23">
        <f t="shared" ref="N660:N665" si="618">M660*G660</f>
        <v>1111.5</v>
      </c>
      <c r="O660" s="23">
        <f t="shared" ref="O660:O665" si="619">L660+N660</f>
        <v>1790.75</v>
      </c>
      <c r="P660" s="46"/>
    </row>
    <row r="661" spans="1:16" x14ac:dyDescent="0.25">
      <c r="A661" s="60">
        <f>IF(G661&lt;&gt;"",1+MAX($A$13:A660),"")</f>
        <v>436</v>
      </c>
      <c r="C661" s="16" t="s">
        <v>57</v>
      </c>
      <c r="D661" s="59" t="s">
        <v>304</v>
      </c>
      <c r="E661" s="31">
        <v>1</v>
      </c>
      <c r="F661" s="39">
        <f>VLOOKUP(H661,'PROJECT SUMMARY'!$C$26:$D$32,2,0)</f>
        <v>0</v>
      </c>
      <c r="G661" s="31">
        <f t="shared" ref="G661:G662" si="620">E661*(1+F661)</f>
        <v>1</v>
      </c>
      <c r="H661" s="16" t="s">
        <v>10</v>
      </c>
      <c r="I661" s="62">
        <v>0.85</v>
      </c>
      <c r="J661" s="80">
        <f t="shared" si="616"/>
        <v>0.85</v>
      </c>
      <c r="K661" s="23">
        <v>55</v>
      </c>
      <c r="L661" s="23">
        <f t="shared" si="617"/>
        <v>46.75</v>
      </c>
      <c r="M661" s="23">
        <v>28.57</v>
      </c>
      <c r="N661" s="23">
        <f t="shared" si="618"/>
        <v>28.57</v>
      </c>
      <c r="O661" s="23">
        <f t="shared" si="619"/>
        <v>75.319999999999993</v>
      </c>
      <c r="P661" s="46"/>
    </row>
    <row r="662" spans="1:16" x14ac:dyDescent="0.25">
      <c r="A662" s="60">
        <f>IF(G662&lt;&gt;"",1+MAX($A$13:A661),"")</f>
        <v>437</v>
      </c>
      <c r="C662" s="16" t="s">
        <v>57</v>
      </c>
      <c r="D662" s="59" t="s">
        <v>120</v>
      </c>
      <c r="E662" s="31">
        <v>10</v>
      </c>
      <c r="F662" s="39">
        <f>VLOOKUP(H662,'PROJECT SUMMARY'!$C$26:$D$32,2,0)</f>
        <v>0</v>
      </c>
      <c r="G662" s="31">
        <f t="shared" si="620"/>
        <v>10</v>
      </c>
      <c r="H662" s="16" t="s">
        <v>10</v>
      </c>
      <c r="I662" s="62">
        <v>1.2</v>
      </c>
      <c r="J662" s="80">
        <f t="shared" si="616"/>
        <v>12</v>
      </c>
      <c r="K662" s="23">
        <v>55</v>
      </c>
      <c r="L662" s="23">
        <f t="shared" si="617"/>
        <v>660</v>
      </c>
      <c r="M662" s="23">
        <v>66</v>
      </c>
      <c r="N662" s="23">
        <f t="shared" si="618"/>
        <v>660</v>
      </c>
      <c r="O662" s="23">
        <f t="shared" si="619"/>
        <v>1320</v>
      </c>
      <c r="P662" s="46"/>
    </row>
    <row r="663" spans="1:16" x14ac:dyDescent="0.25">
      <c r="A663" s="60" t="str">
        <f>IF(G663&lt;&gt;"",1+MAX($A$13:A662),"")</f>
        <v/>
      </c>
      <c r="D663" s="59"/>
      <c r="I663" s="62"/>
      <c r="J663" s="80"/>
      <c r="P663" s="46"/>
    </row>
    <row r="664" spans="1:16" x14ac:dyDescent="0.25">
      <c r="A664" s="60" t="str">
        <f>IF(G664&lt;&gt;"",1+MAX($A$13:A663),"")</f>
        <v/>
      </c>
      <c r="D664" s="58" t="s">
        <v>76</v>
      </c>
      <c r="I664" s="62"/>
      <c r="J664" s="80"/>
      <c r="P664" s="46"/>
    </row>
    <row r="665" spans="1:16" x14ac:dyDescent="0.25">
      <c r="A665" s="60">
        <f>IF(G665&lt;&gt;"",1+MAX($A$13:A664),"")</f>
        <v>438</v>
      </c>
      <c r="C665" s="16" t="s">
        <v>57</v>
      </c>
      <c r="D665" s="59" t="s">
        <v>303</v>
      </c>
      <c r="E665" s="31">
        <v>34.08</v>
      </c>
      <c r="F665" s="39">
        <f>VLOOKUP(H665,'PROJECT SUMMARY'!$C$26:$D$32,2,0)</f>
        <v>0.05</v>
      </c>
      <c r="G665" s="31">
        <f t="shared" si="615"/>
        <v>35.783999999999999</v>
      </c>
      <c r="H665" s="16" t="s">
        <v>11</v>
      </c>
      <c r="I665" s="62">
        <v>1.55</v>
      </c>
      <c r="J665" s="80">
        <f t="shared" ref="J665" si="621">I665*G665</f>
        <v>55.465200000000003</v>
      </c>
      <c r="K665" s="23">
        <v>55</v>
      </c>
      <c r="L665" s="23">
        <f t="shared" ref="L665" si="622">K665*J665</f>
        <v>3050.5860000000002</v>
      </c>
      <c r="M665" s="23">
        <v>191.20171673819743</v>
      </c>
      <c r="N665" s="23">
        <f t="shared" si="618"/>
        <v>6841.9622317596568</v>
      </c>
      <c r="O665" s="23">
        <f t="shared" si="619"/>
        <v>9892.5482317596579</v>
      </c>
      <c r="P665" s="46"/>
    </row>
    <row r="666" spans="1:16" ht="16.5" thickBot="1" x14ac:dyDescent="0.3">
      <c r="A666" s="60" t="str">
        <f>IF(G666&lt;&gt;"",1+MAX($A$13:A665),"")</f>
        <v/>
      </c>
      <c r="I666" s="62"/>
      <c r="P666" s="46"/>
    </row>
    <row r="667" spans="1:16" ht="16.5" thickBot="1" x14ac:dyDescent="0.3">
      <c r="A667" s="87" t="str">
        <f>IF(G667&lt;&gt;"",1+MAX($A$13:A666),"")</f>
        <v/>
      </c>
      <c r="B667" s="83"/>
      <c r="C667" s="83" t="s">
        <v>80</v>
      </c>
      <c r="D667" s="81" t="s">
        <v>81</v>
      </c>
      <c r="E667" s="85"/>
      <c r="F667" s="86"/>
      <c r="G667" s="85"/>
      <c r="H667" s="85"/>
      <c r="I667" s="81"/>
      <c r="J667" s="81"/>
      <c r="K667" s="82"/>
      <c r="L667" s="82"/>
      <c r="M667" s="82"/>
      <c r="N667" s="82"/>
      <c r="O667" s="84"/>
      <c r="P667" s="88">
        <f>SUM(O668:O675)</f>
        <v>7806.83</v>
      </c>
    </row>
    <row r="668" spans="1:16" x14ac:dyDescent="0.25">
      <c r="A668" s="60" t="str">
        <f>IF(G668&lt;&gt;"",1+MAX($A$13:A667),"")</f>
        <v/>
      </c>
      <c r="I668" s="62"/>
      <c r="P668" s="46"/>
    </row>
    <row r="669" spans="1:16" x14ac:dyDescent="0.25">
      <c r="A669" s="60" t="str">
        <f>IF(G669&lt;&gt;"",1+MAX($A$13:A668),"")</f>
        <v/>
      </c>
      <c r="D669" s="58" t="s">
        <v>81</v>
      </c>
      <c r="I669" s="62"/>
      <c r="P669" s="46"/>
    </row>
    <row r="670" spans="1:16" x14ac:dyDescent="0.25">
      <c r="A670" s="60">
        <f>IF(G670&lt;&gt;"",1+MAX($A$13:A669),"")</f>
        <v>439</v>
      </c>
      <c r="C670" s="16" t="s">
        <v>80</v>
      </c>
      <c r="D670" s="59" t="s">
        <v>308</v>
      </c>
      <c r="E670" s="31">
        <v>1</v>
      </c>
      <c r="F670" s="39">
        <f>VLOOKUP(H670,'PROJECT SUMMARY'!$C$26:$D$32,2,0)</f>
        <v>0</v>
      </c>
      <c r="G670" s="31">
        <f t="shared" ref="G670:G673" si="623">E670*(1+F670)</f>
        <v>1</v>
      </c>
      <c r="H670" s="16" t="s">
        <v>10</v>
      </c>
      <c r="I670" s="62">
        <v>6.25</v>
      </c>
      <c r="J670" s="80">
        <f>I670*G670</f>
        <v>6.25</v>
      </c>
      <c r="K670" s="23">
        <v>50</v>
      </c>
      <c r="L670" s="23">
        <f>K670*J670</f>
        <v>312.5</v>
      </c>
      <c r="M670" s="23">
        <v>1932</v>
      </c>
      <c r="N670" s="23">
        <f t="shared" ref="N670:N673" si="624">M670*G670</f>
        <v>1932</v>
      </c>
      <c r="O670" s="23">
        <f t="shared" ref="O670:O673" si="625">L670+N670</f>
        <v>2244.5</v>
      </c>
      <c r="P670" s="46"/>
    </row>
    <row r="671" spans="1:16" x14ac:dyDescent="0.25">
      <c r="A671" s="60">
        <f>IF(G671&lt;&gt;"",1+MAX($A$13:A670),"")</f>
        <v>440</v>
      </c>
      <c r="C671" s="16" t="s">
        <v>80</v>
      </c>
      <c r="D671" s="59" t="s">
        <v>413</v>
      </c>
      <c r="E671" s="31">
        <v>1</v>
      </c>
      <c r="F671" s="39">
        <f>VLOOKUP(H671,'PROJECT SUMMARY'!$C$26:$D$32,2,0)</f>
        <v>0</v>
      </c>
      <c r="G671" s="31">
        <f t="shared" si="623"/>
        <v>1</v>
      </c>
      <c r="H671" s="16" t="s">
        <v>10</v>
      </c>
      <c r="I671" s="62">
        <v>5.22</v>
      </c>
      <c r="J671" s="80">
        <f t="shared" ref="J671:J672" si="626">I671*G671</f>
        <v>5.22</v>
      </c>
      <c r="K671" s="23">
        <v>50</v>
      </c>
      <c r="L671" s="23">
        <f t="shared" ref="L671:L672" si="627">K671*J671</f>
        <v>261</v>
      </c>
      <c r="M671" s="23">
        <v>1397</v>
      </c>
      <c r="N671" s="23">
        <f t="shared" si="624"/>
        <v>1397</v>
      </c>
      <c r="O671" s="23">
        <f t="shared" si="625"/>
        <v>1658</v>
      </c>
      <c r="P671" s="46"/>
    </row>
    <row r="672" spans="1:16" x14ac:dyDescent="0.25">
      <c r="A672" s="60">
        <f>IF(G672&lt;&gt;"",1+MAX($A$13:A671),"")</f>
        <v>441</v>
      </c>
      <c r="C672" s="16" t="s">
        <v>80</v>
      </c>
      <c r="D672" s="59" t="s">
        <v>414</v>
      </c>
      <c r="E672" s="31">
        <v>2</v>
      </c>
      <c r="F672" s="39">
        <f>VLOOKUP(H672,'PROJECT SUMMARY'!$C$26:$D$32,2,0)</f>
        <v>0</v>
      </c>
      <c r="G672" s="31">
        <f t="shared" si="623"/>
        <v>2</v>
      </c>
      <c r="H672" s="16" t="s">
        <v>10</v>
      </c>
      <c r="I672" s="62">
        <v>4.5999999999999996</v>
      </c>
      <c r="J672" s="80">
        <f t="shared" si="626"/>
        <v>9.1999999999999993</v>
      </c>
      <c r="K672" s="23">
        <v>50</v>
      </c>
      <c r="L672" s="23">
        <f t="shared" si="627"/>
        <v>459.99999999999994</v>
      </c>
      <c r="M672" s="23">
        <v>650</v>
      </c>
      <c r="N672" s="23">
        <f t="shared" si="624"/>
        <v>1300</v>
      </c>
      <c r="O672" s="23">
        <f t="shared" si="625"/>
        <v>1760</v>
      </c>
      <c r="P672" s="46"/>
    </row>
    <row r="673" spans="1:16" x14ac:dyDescent="0.25">
      <c r="A673" s="60">
        <f>IF(G673&lt;&gt;"",1+MAX($A$13:A672),"")</f>
        <v>442</v>
      </c>
      <c r="C673" s="16" t="s">
        <v>80</v>
      </c>
      <c r="D673" s="59" t="s">
        <v>306</v>
      </c>
      <c r="E673" s="31">
        <v>1</v>
      </c>
      <c r="F673" s="39">
        <f>VLOOKUP(H673,'PROJECT SUMMARY'!$C$26:$D$32,2,0)</f>
        <v>0</v>
      </c>
      <c r="G673" s="31">
        <f t="shared" si="623"/>
        <v>1</v>
      </c>
      <c r="H673" s="16" t="s">
        <v>10</v>
      </c>
      <c r="I673" s="62">
        <v>4.26</v>
      </c>
      <c r="J673" s="80">
        <f>I673*G673</f>
        <v>4.26</v>
      </c>
      <c r="K673" s="23">
        <v>50</v>
      </c>
      <c r="L673" s="23">
        <f>K673*J673</f>
        <v>213</v>
      </c>
      <c r="M673" s="23">
        <v>698</v>
      </c>
      <c r="N673" s="23">
        <f t="shared" si="624"/>
        <v>698</v>
      </c>
      <c r="O673" s="23">
        <f t="shared" si="625"/>
        <v>911</v>
      </c>
      <c r="P673" s="46"/>
    </row>
    <row r="674" spans="1:16" x14ac:dyDescent="0.25">
      <c r="A674" s="60">
        <f>IF(G674&lt;&gt;"",1+MAX($A$13:A673),"")</f>
        <v>443</v>
      </c>
      <c r="C674" s="16" t="s">
        <v>80</v>
      </c>
      <c r="D674" s="59" t="s">
        <v>307</v>
      </c>
      <c r="E674" s="31">
        <v>1</v>
      </c>
      <c r="F674" s="39">
        <f>VLOOKUP(H674,'PROJECT SUMMARY'!$C$26:$D$32,2,0)</f>
        <v>0</v>
      </c>
      <c r="G674" s="31">
        <f>E674*(1+F674)</f>
        <v>1</v>
      </c>
      <c r="H674" s="16" t="s">
        <v>10</v>
      </c>
      <c r="I674" s="62">
        <v>4.12</v>
      </c>
      <c r="J674" s="80">
        <f>I674*G674</f>
        <v>4.12</v>
      </c>
      <c r="K674" s="23">
        <v>50</v>
      </c>
      <c r="L674" s="23">
        <f>K674*J674</f>
        <v>206</v>
      </c>
      <c r="M674" s="23">
        <v>541</v>
      </c>
      <c r="N674" s="23">
        <f>M674*G674</f>
        <v>541</v>
      </c>
      <c r="O674" s="23">
        <f>L674+N674</f>
        <v>747</v>
      </c>
      <c r="P674" s="46"/>
    </row>
    <row r="675" spans="1:16" x14ac:dyDescent="0.25">
      <c r="A675" s="60">
        <f>IF(G675&lt;&gt;"",1+MAX($A$13:A674),"")</f>
        <v>444</v>
      </c>
      <c r="C675" s="16" t="s">
        <v>80</v>
      </c>
      <c r="D675" s="59" t="s">
        <v>309</v>
      </c>
      <c r="E675" s="31">
        <v>1</v>
      </c>
      <c r="F675" s="39">
        <f>VLOOKUP(H675,'PROJECT SUMMARY'!$C$26:$D$32,2,0)</f>
        <v>0</v>
      </c>
      <c r="G675" s="31">
        <f>E675*(1+F675)</f>
        <v>1</v>
      </c>
      <c r="H675" s="16" t="s">
        <v>10</v>
      </c>
      <c r="I675" s="62">
        <v>3.2</v>
      </c>
      <c r="J675" s="80">
        <f>I675*G675</f>
        <v>3.2</v>
      </c>
      <c r="K675" s="23">
        <v>50</v>
      </c>
      <c r="L675" s="23">
        <f>K675*J675</f>
        <v>160</v>
      </c>
      <c r="M675" s="23">
        <v>326.33</v>
      </c>
      <c r="N675" s="23">
        <f>M675*G675</f>
        <v>326.33</v>
      </c>
      <c r="O675" s="23">
        <f>L675+N675</f>
        <v>486.33</v>
      </c>
      <c r="P675" s="46"/>
    </row>
    <row r="676" spans="1:16" ht="16.5" thickBot="1" x14ac:dyDescent="0.3">
      <c r="A676" s="60" t="str">
        <f>IF(G676&lt;&gt;"",1+MAX($A$13:A675),"")</f>
        <v/>
      </c>
      <c r="P676" s="46"/>
    </row>
    <row r="677" spans="1:16" ht="16.5" thickBot="1" x14ac:dyDescent="0.3">
      <c r="A677" s="87" t="str">
        <f>IF(G677&lt;&gt;"",1+MAX($A$13:A676),"")</f>
        <v/>
      </c>
      <c r="B677" s="83"/>
      <c r="C677" s="83" t="s">
        <v>58</v>
      </c>
      <c r="D677" s="81" t="s">
        <v>61</v>
      </c>
      <c r="E677" s="85"/>
      <c r="F677" s="86"/>
      <c r="G677" s="85"/>
      <c r="H677" s="85"/>
      <c r="I677" s="81"/>
      <c r="J677" s="81"/>
      <c r="K677" s="82"/>
      <c r="L677" s="82"/>
      <c r="M677" s="82"/>
      <c r="N677" s="82"/>
      <c r="O677" s="84"/>
      <c r="P677" s="88">
        <f>SUM(O678:O697)</f>
        <v>61094.965896040005</v>
      </c>
    </row>
    <row r="678" spans="1:16" x14ac:dyDescent="0.25">
      <c r="A678" s="60" t="str">
        <f>IF(G678&lt;&gt;"",1+MAX($A$13:A677),"")</f>
        <v/>
      </c>
      <c r="P678" s="46"/>
    </row>
    <row r="679" spans="1:16" x14ac:dyDescent="0.25">
      <c r="A679" s="60" t="str">
        <f>IF(G679&lt;&gt;"",1+MAX($A$13:A678),"")</f>
        <v/>
      </c>
      <c r="D679" s="58" t="s">
        <v>62</v>
      </c>
      <c r="P679" s="46"/>
    </row>
    <row r="680" spans="1:16" x14ac:dyDescent="0.25">
      <c r="A680" s="60">
        <f>IF(G680&lt;&gt;"",1+MAX($A$13:A679),"")</f>
        <v>445</v>
      </c>
      <c r="C680" s="16" t="s">
        <v>58</v>
      </c>
      <c r="D680" s="59" t="s">
        <v>281</v>
      </c>
      <c r="E680" s="31">
        <f>83.77*2.083</f>
        <v>174.49290999999999</v>
      </c>
      <c r="F680" s="39">
        <f>VLOOKUP(H680,'PROJECT SUMMARY'!$C$26:$D$32,2,0)</f>
        <v>0.05</v>
      </c>
      <c r="G680" s="31">
        <f>E680*(1+F680)</f>
        <v>183.2175555</v>
      </c>
      <c r="H680" s="16" t="s">
        <v>12</v>
      </c>
      <c r="I680" s="62">
        <v>0.2</v>
      </c>
      <c r="J680" s="71">
        <f>I680*G680</f>
        <v>36.643511100000005</v>
      </c>
      <c r="K680" s="72">
        <v>65</v>
      </c>
      <c r="L680" s="23">
        <f>K680*J680</f>
        <v>2381.8282215000004</v>
      </c>
      <c r="M680" s="23">
        <v>45.5</v>
      </c>
      <c r="N680" s="23">
        <f>M680*G680</f>
        <v>8336.3987752499997</v>
      </c>
      <c r="O680" s="23">
        <f>L680+N680</f>
        <v>10718.22699675</v>
      </c>
      <c r="P680" s="46"/>
    </row>
    <row r="681" spans="1:16" x14ac:dyDescent="0.25">
      <c r="A681" s="60">
        <f>IF(G681&lt;&gt;"",1+MAX($A$13:A680),"")</f>
        <v>446</v>
      </c>
      <c r="C681" s="16" t="s">
        <v>58</v>
      </c>
      <c r="D681" s="59" t="s">
        <v>282</v>
      </c>
      <c r="E681" s="31">
        <f>7.61*2.167</f>
        <v>16.490870000000001</v>
      </c>
      <c r="F681" s="39">
        <f>VLOOKUP(H681,'PROJECT SUMMARY'!$C$26:$D$32,2,0)</f>
        <v>0.05</v>
      </c>
      <c r="G681" s="31">
        <f>E681*(1+F681)</f>
        <v>17.315413500000002</v>
      </c>
      <c r="H681" s="16" t="s">
        <v>12</v>
      </c>
      <c r="I681" s="62">
        <v>0.2</v>
      </c>
      <c r="J681" s="71">
        <f>I681*G681</f>
        <v>3.4630827000000006</v>
      </c>
      <c r="K681" s="72">
        <v>65</v>
      </c>
      <c r="L681" s="23">
        <f>K681*J681</f>
        <v>225.10037550000004</v>
      </c>
      <c r="M681" s="23">
        <v>45.5</v>
      </c>
      <c r="N681" s="23">
        <f>M681*G681</f>
        <v>787.85131425000009</v>
      </c>
      <c r="O681" s="23">
        <f>L681+N681</f>
        <v>1012.9516897500001</v>
      </c>
      <c r="P681" s="46"/>
    </row>
    <row r="682" spans="1:16" x14ac:dyDescent="0.25">
      <c r="A682" s="60">
        <f>IF(G682&lt;&gt;"",1+MAX($A$13:A681),"")</f>
        <v>447</v>
      </c>
      <c r="C682" s="16" t="s">
        <v>58</v>
      </c>
      <c r="D682" s="59" t="s">
        <v>283</v>
      </c>
      <c r="E682" s="31">
        <f>13.05*1.83</f>
        <v>23.881500000000003</v>
      </c>
      <c r="F682" s="39">
        <f>VLOOKUP(H682,'PROJECT SUMMARY'!$C$26:$D$32,2,0)</f>
        <v>0.05</v>
      </c>
      <c r="G682" s="31">
        <f t="shared" ref="G682:G685" si="628">E682*(1+F682)</f>
        <v>25.075575000000004</v>
      </c>
      <c r="H682" s="16" t="s">
        <v>12</v>
      </c>
      <c r="I682" s="62">
        <v>0.2</v>
      </c>
      <c r="J682" s="71">
        <f>I682*G682</f>
        <v>5.0151150000000015</v>
      </c>
      <c r="K682" s="72">
        <v>65</v>
      </c>
      <c r="L682" s="23">
        <f>K682*J682</f>
        <v>325.98247500000008</v>
      </c>
      <c r="M682" s="23">
        <v>45.5</v>
      </c>
      <c r="N682" s="23">
        <f t="shared" ref="N682:N685" si="629">M682*G682</f>
        <v>1140.9386625000002</v>
      </c>
      <c r="O682" s="23">
        <f t="shared" ref="O682:O685" si="630">L682+N682</f>
        <v>1466.9211375000002</v>
      </c>
      <c r="P682" s="46"/>
    </row>
    <row r="683" spans="1:16" x14ac:dyDescent="0.25">
      <c r="A683" s="60" t="str">
        <f>IF(G683&lt;&gt;"",1+MAX($A$13:A682),"")</f>
        <v/>
      </c>
      <c r="D683" s="59"/>
      <c r="I683" s="62"/>
      <c r="J683" s="80"/>
      <c r="K683" s="72"/>
      <c r="P683" s="46"/>
    </row>
    <row r="684" spans="1:16" x14ac:dyDescent="0.25">
      <c r="A684" s="60">
        <f>IF(G684&lt;&gt;"",1+MAX($A$13:A683),"")</f>
        <v>448</v>
      </c>
      <c r="C684" s="16" t="s">
        <v>58</v>
      </c>
      <c r="D684" s="59" t="s">
        <v>284</v>
      </c>
      <c r="E684" s="31">
        <v>1</v>
      </c>
      <c r="F684" s="39">
        <f>VLOOKUP(H684,'PROJECT SUMMARY'!$C$26:$D$32,2,0)</f>
        <v>0</v>
      </c>
      <c r="G684" s="31">
        <f t="shared" si="628"/>
        <v>1</v>
      </c>
      <c r="H684" s="16" t="s">
        <v>10</v>
      </c>
      <c r="I684" s="62">
        <v>14.36</v>
      </c>
      <c r="J684" s="80">
        <f t="shared" ref="J684:J685" si="631">I684*G684</f>
        <v>14.36</v>
      </c>
      <c r="K684" s="72">
        <v>65</v>
      </c>
      <c r="L684" s="23">
        <f t="shared" ref="L684:L685" si="632">K684*J684</f>
        <v>933.4</v>
      </c>
      <c r="M684" s="23">
        <v>3420</v>
      </c>
      <c r="N684" s="23">
        <f t="shared" si="629"/>
        <v>3420</v>
      </c>
      <c r="O684" s="23">
        <f t="shared" si="630"/>
        <v>4353.3999999999996</v>
      </c>
      <c r="P684" s="46"/>
    </row>
    <row r="685" spans="1:16" x14ac:dyDescent="0.25">
      <c r="A685" s="60">
        <f>IF(G685&lt;&gt;"",1+MAX($A$13:A684),"")</f>
        <v>449</v>
      </c>
      <c r="C685" s="16" t="s">
        <v>58</v>
      </c>
      <c r="D685" s="59" t="s">
        <v>285</v>
      </c>
      <c r="E685" s="31">
        <v>1</v>
      </c>
      <c r="F685" s="39">
        <f>VLOOKUP(H685,'PROJECT SUMMARY'!$C$26:$D$32,2,0)</f>
        <v>0</v>
      </c>
      <c r="G685" s="31">
        <f t="shared" si="628"/>
        <v>1</v>
      </c>
      <c r="H685" s="16" t="s">
        <v>10</v>
      </c>
      <c r="I685" s="62">
        <v>14.006385</v>
      </c>
      <c r="J685" s="80">
        <f t="shared" si="631"/>
        <v>14.006385</v>
      </c>
      <c r="K685" s="72">
        <v>65</v>
      </c>
      <c r="L685" s="23">
        <f t="shared" si="632"/>
        <v>910.41502500000001</v>
      </c>
      <c r="M685" s="23">
        <v>3335.7824999999998</v>
      </c>
      <c r="N685" s="23">
        <f t="shared" si="629"/>
        <v>3335.7824999999998</v>
      </c>
      <c r="O685" s="23">
        <f t="shared" si="630"/>
        <v>4246.1975249999996</v>
      </c>
      <c r="P685" s="46"/>
    </row>
    <row r="686" spans="1:16" x14ac:dyDescent="0.25">
      <c r="A686" s="60" t="str">
        <f>IF(G686&lt;&gt;"",1+MAX($A$13:A685),"")</f>
        <v/>
      </c>
      <c r="D686" s="59"/>
      <c r="I686" s="62"/>
      <c r="J686" s="71"/>
      <c r="K686" s="72"/>
      <c r="P686" s="46"/>
    </row>
    <row r="687" spans="1:16" x14ac:dyDescent="0.25">
      <c r="A687" s="60">
        <f>IF(G687&lt;&gt;"",1+MAX($A$13:A686),"")</f>
        <v>450</v>
      </c>
      <c r="C687" s="16" t="s">
        <v>58</v>
      </c>
      <c r="D687" s="59" t="s">
        <v>286</v>
      </c>
      <c r="E687" s="31">
        <v>27.15</v>
      </c>
      <c r="F687" s="39">
        <f>VLOOKUP(H687,'PROJECT SUMMARY'!$C$26:$D$32,2,0)</f>
        <v>0.05</v>
      </c>
      <c r="G687" s="31">
        <f>E687*(1+F687)</f>
        <v>28.5075</v>
      </c>
      <c r="H687" s="16" t="s">
        <v>11</v>
      </c>
      <c r="I687" s="62">
        <v>1.2779999999999998</v>
      </c>
      <c r="J687" s="80">
        <f>I687*G687</f>
        <v>36.432584999999996</v>
      </c>
      <c r="K687" s="72">
        <v>65</v>
      </c>
      <c r="L687" s="23">
        <f>K687*J687</f>
        <v>2368.1180249999998</v>
      </c>
      <c r="M687" s="23">
        <v>142</v>
      </c>
      <c r="N687" s="23">
        <f>M687*G687</f>
        <v>4048.0650000000001</v>
      </c>
      <c r="O687" s="23">
        <f>L687+N687</f>
        <v>6416.1830250000003</v>
      </c>
      <c r="P687" s="46"/>
    </row>
    <row r="688" spans="1:16" x14ac:dyDescent="0.25">
      <c r="A688" s="60">
        <f>IF(G688&lt;&gt;"",1+MAX($A$13:A687),"")</f>
        <v>451</v>
      </c>
      <c r="C688" s="16" t="s">
        <v>58</v>
      </c>
      <c r="D688" s="59" t="s">
        <v>327</v>
      </c>
      <c r="E688" s="31">
        <v>30.74</v>
      </c>
      <c r="F688" s="39">
        <f>VLOOKUP(H688,'PROJECT SUMMARY'!$C$26:$D$32,2,0)</f>
        <v>0.05</v>
      </c>
      <c r="G688" s="31">
        <f>E688*(1+F688)</f>
        <v>32.277000000000001</v>
      </c>
      <c r="H688" s="16" t="s">
        <v>11</v>
      </c>
      <c r="I688" s="62">
        <v>1.1750399999999999</v>
      </c>
      <c r="J688" s="80">
        <f>I688*G688</f>
        <v>37.92676608</v>
      </c>
      <c r="K688" s="72">
        <v>65</v>
      </c>
      <c r="L688" s="23">
        <f>K688*J688</f>
        <v>2465.2397952000001</v>
      </c>
      <c r="M688" s="23">
        <v>130.56</v>
      </c>
      <c r="N688" s="23">
        <f>M688*G688</f>
        <v>4214.0851200000006</v>
      </c>
      <c r="O688" s="23">
        <f>L688+N688</f>
        <v>6679.3249152000008</v>
      </c>
      <c r="P688" s="46"/>
    </row>
    <row r="689" spans="1:16" x14ac:dyDescent="0.25">
      <c r="A689" s="60">
        <f>IF(G689&lt;&gt;"",1+MAX($A$13:A688),"")</f>
        <v>452</v>
      </c>
      <c r="C689" s="16" t="s">
        <v>58</v>
      </c>
      <c r="D689" s="59" t="s">
        <v>287</v>
      </c>
      <c r="E689" s="31">
        <v>27.57</v>
      </c>
      <c r="F689" s="39">
        <f>VLOOKUP(H689,'PROJECT SUMMARY'!$C$26:$D$32,2,0)</f>
        <v>0.05</v>
      </c>
      <c r="G689" s="31">
        <f t="shared" ref="G689" si="633">E689*(1+F689)</f>
        <v>28.948500000000003</v>
      </c>
      <c r="H689" s="16" t="s">
        <v>11</v>
      </c>
      <c r="I689" s="62">
        <v>0.5529599999999999</v>
      </c>
      <c r="J689" s="80">
        <f t="shared" ref="J689:J697" si="634">I689*G689</f>
        <v>16.007362559999997</v>
      </c>
      <c r="K689" s="72">
        <v>65</v>
      </c>
      <c r="L689" s="23">
        <f t="shared" ref="L689:L697" si="635">K689*J689</f>
        <v>1040.4785663999999</v>
      </c>
      <c r="M689" s="23">
        <v>61.44</v>
      </c>
      <c r="N689" s="23">
        <f t="shared" ref="N689:N697" si="636">M689*G689</f>
        <v>1778.5958400000002</v>
      </c>
      <c r="O689" s="23">
        <f t="shared" ref="O689:O697" si="637">L689+N689</f>
        <v>2819.0744064</v>
      </c>
      <c r="P689" s="46"/>
    </row>
    <row r="690" spans="1:16" x14ac:dyDescent="0.25">
      <c r="A690" s="60">
        <f>IF(G690&lt;&gt;"",1+MAX($A$13:A689),"")</f>
        <v>453</v>
      </c>
      <c r="C690" s="16" t="s">
        <v>58</v>
      </c>
      <c r="D690" s="59" t="s">
        <v>288</v>
      </c>
      <c r="E690" s="31">
        <v>48.28</v>
      </c>
      <c r="F690" s="39">
        <f>VLOOKUP(H690,'PROJECT SUMMARY'!$C$26:$D$32,2,0)</f>
        <v>0.05</v>
      </c>
      <c r="G690" s="31">
        <f t="shared" ref="G690:G697" si="638">E690*(1+F690)</f>
        <v>50.694000000000003</v>
      </c>
      <c r="H690" s="16" t="s">
        <v>11</v>
      </c>
      <c r="I690" s="62">
        <v>0.69119999999999993</v>
      </c>
      <c r="J690" s="80">
        <f t="shared" si="634"/>
        <v>35.039692799999997</v>
      </c>
      <c r="K690" s="72">
        <v>65</v>
      </c>
      <c r="L690" s="23">
        <f t="shared" si="635"/>
        <v>2277.5800319999998</v>
      </c>
      <c r="M690" s="23">
        <v>76.8</v>
      </c>
      <c r="N690" s="23">
        <f t="shared" si="636"/>
        <v>3893.2991999999999</v>
      </c>
      <c r="O690" s="23">
        <f t="shared" si="637"/>
        <v>6170.8792319999993</v>
      </c>
      <c r="P690" s="46"/>
    </row>
    <row r="691" spans="1:16" x14ac:dyDescent="0.25">
      <c r="A691" s="60">
        <f>IF(G691&lt;&gt;"",1+MAX($A$13:A690),"")</f>
        <v>454</v>
      </c>
      <c r="C691" s="16" t="s">
        <v>58</v>
      </c>
      <c r="D691" s="59" t="s">
        <v>289</v>
      </c>
      <c r="E691" s="31">
        <v>7.61</v>
      </c>
      <c r="F691" s="39">
        <f>VLOOKUP(H691,'PROJECT SUMMARY'!$C$26:$D$32,2,0)</f>
        <v>0.05</v>
      </c>
      <c r="G691" s="31">
        <f t="shared" si="638"/>
        <v>7.9905000000000008</v>
      </c>
      <c r="H691" s="16" t="s">
        <v>11</v>
      </c>
      <c r="I691" s="62">
        <v>0.74880000000000002</v>
      </c>
      <c r="J691" s="80">
        <f t="shared" si="634"/>
        <v>5.9832864000000008</v>
      </c>
      <c r="K691" s="72">
        <v>65</v>
      </c>
      <c r="L691" s="23">
        <f t="shared" si="635"/>
        <v>388.91361600000005</v>
      </c>
      <c r="M691" s="23">
        <v>83.2</v>
      </c>
      <c r="N691" s="23">
        <f t="shared" si="636"/>
        <v>664.80960000000005</v>
      </c>
      <c r="O691" s="23">
        <f t="shared" si="637"/>
        <v>1053.7232160000001</v>
      </c>
      <c r="P691" s="46"/>
    </row>
    <row r="692" spans="1:16" x14ac:dyDescent="0.25">
      <c r="A692" s="60">
        <f>IF(G692&lt;&gt;"",1+MAX($A$13:A691),"")</f>
        <v>455</v>
      </c>
      <c r="C692" s="16" t="s">
        <v>58</v>
      </c>
      <c r="D692" s="59" t="s">
        <v>290</v>
      </c>
      <c r="E692" s="31">
        <v>13.06</v>
      </c>
      <c r="F692" s="39">
        <f>VLOOKUP(H692,'PROJECT SUMMARY'!$C$26:$D$32,2,0)</f>
        <v>0.05</v>
      </c>
      <c r="G692" s="31">
        <f t="shared" si="638"/>
        <v>13.713000000000001</v>
      </c>
      <c r="H692" s="16" t="s">
        <v>11</v>
      </c>
      <c r="I692" s="62">
        <v>0.57023999999999997</v>
      </c>
      <c r="J692" s="80">
        <f t="shared" si="634"/>
        <v>7.8197011200000004</v>
      </c>
      <c r="K692" s="72">
        <v>65</v>
      </c>
      <c r="L692" s="23">
        <f t="shared" si="635"/>
        <v>508.28057280000002</v>
      </c>
      <c r="M692" s="23">
        <v>63.36</v>
      </c>
      <c r="N692" s="23">
        <f t="shared" si="636"/>
        <v>868.85568000000001</v>
      </c>
      <c r="O692" s="23">
        <f t="shared" si="637"/>
        <v>1377.1362528</v>
      </c>
      <c r="P692" s="46"/>
    </row>
    <row r="693" spans="1:16" x14ac:dyDescent="0.25">
      <c r="A693" s="60">
        <f>IF(G693&lt;&gt;"",1+MAX($A$13:A692),"")</f>
        <v>456</v>
      </c>
      <c r="C693" s="16" t="s">
        <v>58</v>
      </c>
      <c r="D693" s="59" t="s">
        <v>291</v>
      </c>
      <c r="E693" s="31">
        <v>8.39</v>
      </c>
      <c r="F693" s="39">
        <f>VLOOKUP(H693,'PROJECT SUMMARY'!$C$26:$D$32,2,0)</f>
        <v>0.05</v>
      </c>
      <c r="G693" s="31">
        <f t="shared" si="638"/>
        <v>8.8095000000000017</v>
      </c>
      <c r="H693" s="16" t="s">
        <v>11</v>
      </c>
      <c r="I693" s="62">
        <v>2.0321279999999997</v>
      </c>
      <c r="J693" s="80">
        <f t="shared" si="634"/>
        <v>17.902031616000002</v>
      </c>
      <c r="K693" s="72">
        <v>65</v>
      </c>
      <c r="L693" s="23">
        <f t="shared" si="635"/>
        <v>1163.6320550400001</v>
      </c>
      <c r="M693" s="23">
        <v>225.79199999999997</v>
      </c>
      <c r="N693" s="23">
        <f t="shared" si="636"/>
        <v>1989.114624</v>
      </c>
      <c r="O693" s="23">
        <f t="shared" si="637"/>
        <v>3152.7466790400003</v>
      </c>
      <c r="P693" s="46"/>
    </row>
    <row r="694" spans="1:16" x14ac:dyDescent="0.25">
      <c r="A694" s="60">
        <f>IF(G694&lt;&gt;"",1+MAX($A$13:A693),"")</f>
        <v>457</v>
      </c>
      <c r="C694" s="16" t="s">
        <v>58</v>
      </c>
      <c r="D694" s="59" t="s">
        <v>292</v>
      </c>
      <c r="E694" s="31">
        <v>21.72</v>
      </c>
      <c r="F694" s="39">
        <f>VLOOKUP(H694,'PROJECT SUMMARY'!$C$26:$D$32,2,0)</f>
        <v>0.05</v>
      </c>
      <c r="G694" s="31">
        <f t="shared" si="638"/>
        <v>22.806000000000001</v>
      </c>
      <c r="H694" s="16" t="s">
        <v>11</v>
      </c>
      <c r="I694" s="62">
        <v>0.58697999999999995</v>
      </c>
      <c r="J694" s="80">
        <f t="shared" si="634"/>
        <v>13.386665879999999</v>
      </c>
      <c r="K694" s="72">
        <v>65</v>
      </c>
      <c r="L694" s="23">
        <f t="shared" si="635"/>
        <v>870.13328219999994</v>
      </c>
      <c r="M694" s="23">
        <v>65.22</v>
      </c>
      <c r="N694" s="23">
        <f t="shared" si="636"/>
        <v>1487.40732</v>
      </c>
      <c r="O694" s="23">
        <f t="shared" si="637"/>
        <v>2357.5406021999997</v>
      </c>
      <c r="P694" s="46"/>
    </row>
    <row r="695" spans="1:16" x14ac:dyDescent="0.25">
      <c r="A695" s="60">
        <f>IF(G695&lt;&gt;"",1+MAX($A$13:A694),"")</f>
        <v>458</v>
      </c>
      <c r="C695" s="16" t="s">
        <v>58</v>
      </c>
      <c r="D695" s="59" t="s">
        <v>293</v>
      </c>
      <c r="E695" s="31">
        <v>9.6</v>
      </c>
      <c r="F695" s="39">
        <f>VLOOKUP(H695,'PROJECT SUMMARY'!$C$26:$D$32,2,0)</f>
        <v>0.05</v>
      </c>
      <c r="G695" s="31">
        <f t="shared" si="638"/>
        <v>10.08</v>
      </c>
      <c r="H695" s="16" t="s">
        <v>11</v>
      </c>
      <c r="I695" s="62">
        <v>3.0481919999999998</v>
      </c>
      <c r="J695" s="80">
        <f t="shared" si="634"/>
        <v>30.725775359999997</v>
      </c>
      <c r="K695" s="72">
        <v>65</v>
      </c>
      <c r="L695" s="23">
        <f t="shared" si="635"/>
        <v>1997.1753983999997</v>
      </c>
      <c r="M695" s="23">
        <v>338.68799999999999</v>
      </c>
      <c r="N695" s="23">
        <f t="shared" si="636"/>
        <v>3413.9750399999998</v>
      </c>
      <c r="O695" s="23">
        <f t="shared" si="637"/>
        <v>5411.1504384</v>
      </c>
      <c r="P695" s="46"/>
    </row>
    <row r="696" spans="1:16" x14ac:dyDescent="0.25">
      <c r="A696" s="60">
        <f>IF(G696&lt;&gt;"",1+MAX($A$13:A695),"")</f>
        <v>459</v>
      </c>
      <c r="C696" s="16" t="s">
        <v>58</v>
      </c>
      <c r="D696" s="59" t="s">
        <v>91</v>
      </c>
      <c r="E696" s="31">
        <v>8.4</v>
      </c>
      <c r="F696" s="39">
        <f>VLOOKUP(H696,'PROJECT SUMMARY'!$C$26:$D$32,2,0)</f>
        <v>0.05</v>
      </c>
      <c r="G696" s="31">
        <f t="shared" si="638"/>
        <v>8.82</v>
      </c>
      <c r="H696" s="16" t="s">
        <v>11</v>
      </c>
      <c r="I696" s="62">
        <v>0.22500000000000001</v>
      </c>
      <c r="J696" s="80">
        <f t="shared" si="634"/>
        <v>1.9845000000000002</v>
      </c>
      <c r="K696" s="72">
        <v>65</v>
      </c>
      <c r="L696" s="23">
        <f t="shared" si="635"/>
        <v>128.99250000000001</v>
      </c>
      <c r="M696" s="23">
        <v>28.5</v>
      </c>
      <c r="N696" s="23">
        <f t="shared" si="636"/>
        <v>251.37</v>
      </c>
      <c r="O696" s="23">
        <f t="shared" si="637"/>
        <v>380.36250000000001</v>
      </c>
      <c r="P696" s="46"/>
    </row>
    <row r="697" spans="1:16" x14ac:dyDescent="0.25">
      <c r="A697" s="60">
        <f>IF(G697&lt;&gt;"",1+MAX($A$13:A696),"")</f>
        <v>460</v>
      </c>
      <c r="C697" s="16" t="s">
        <v>58</v>
      </c>
      <c r="D697" s="59" t="s">
        <v>294</v>
      </c>
      <c r="E697" s="31">
        <v>36.32</v>
      </c>
      <c r="F697" s="39">
        <f>VLOOKUP(H697,'PROJECT SUMMARY'!$C$26:$D$32,2,0)</f>
        <v>0.05</v>
      </c>
      <c r="G697" s="31">
        <f t="shared" si="638"/>
        <v>38.136000000000003</v>
      </c>
      <c r="H697" s="16" t="s">
        <v>11</v>
      </c>
      <c r="I697" s="62">
        <v>0.4</v>
      </c>
      <c r="J697" s="80">
        <f t="shared" si="634"/>
        <v>15.254400000000002</v>
      </c>
      <c r="K697" s="72">
        <v>65</v>
      </c>
      <c r="L697" s="23">
        <f t="shared" si="635"/>
        <v>991.53600000000017</v>
      </c>
      <c r="M697" s="23">
        <v>65.23</v>
      </c>
      <c r="N697" s="23">
        <f t="shared" si="636"/>
        <v>2487.6112800000005</v>
      </c>
      <c r="O697" s="23">
        <f t="shared" si="637"/>
        <v>3479.1472800000006</v>
      </c>
      <c r="P697" s="46"/>
    </row>
    <row r="698" spans="1:16" ht="16.5" thickBot="1" x14ac:dyDescent="0.3">
      <c r="A698" s="60" t="str">
        <f>IF(G698&lt;&gt;"",1+MAX($A$13:A697),"")</f>
        <v/>
      </c>
      <c r="P698" s="46"/>
    </row>
    <row r="699" spans="1:16" ht="16.5" thickBot="1" x14ac:dyDescent="0.3">
      <c r="A699" s="87" t="str">
        <f>IF(G699&lt;&gt;"",1+MAX($A$13:A698),"")</f>
        <v/>
      </c>
      <c r="B699" s="83"/>
      <c r="C699" s="83" t="s">
        <v>102</v>
      </c>
      <c r="D699" s="81" t="s">
        <v>103</v>
      </c>
      <c r="E699" s="85"/>
      <c r="F699" s="86"/>
      <c r="G699" s="85"/>
      <c r="H699" s="85"/>
      <c r="I699" s="81"/>
      <c r="J699" s="81"/>
      <c r="K699" s="82"/>
      <c r="L699" s="82"/>
      <c r="M699" s="82"/>
      <c r="N699" s="82"/>
      <c r="O699" s="84"/>
      <c r="P699" s="88">
        <f>SUM(O700:O701)</f>
        <v>47950</v>
      </c>
    </row>
    <row r="700" spans="1:16" x14ac:dyDescent="0.25">
      <c r="A700" s="60" t="str">
        <f>IF(G700&lt;&gt;"",1+MAX($A$13:A699),"")</f>
        <v/>
      </c>
      <c r="P700" s="46"/>
    </row>
    <row r="701" spans="1:16" x14ac:dyDescent="0.25">
      <c r="A701" s="60">
        <f>IF(G701&lt;&gt;"",1+MAX($A$13:A700),"")</f>
        <v>461</v>
      </c>
      <c r="C701" s="16" t="s">
        <v>102</v>
      </c>
      <c r="D701" s="10" t="s">
        <v>295</v>
      </c>
      <c r="E701" s="10">
        <v>1</v>
      </c>
      <c r="F701" s="39">
        <f>VLOOKUP(H701,'PROJECT SUMMARY'!$C$26:$D$32,2,0)</f>
        <v>0</v>
      </c>
      <c r="G701" s="31">
        <f>E701*(1+F701)</f>
        <v>1</v>
      </c>
      <c r="H701" s="16" t="s">
        <v>10</v>
      </c>
      <c r="I701" s="62">
        <v>75</v>
      </c>
      <c r="J701" s="71">
        <f>I701*G701</f>
        <v>75</v>
      </c>
      <c r="K701" s="72">
        <v>120</v>
      </c>
      <c r="L701" s="23">
        <f>K701*J701</f>
        <v>9000</v>
      </c>
      <c r="M701" s="23">
        <v>38950</v>
      </c>
      <c r="N701" s="23">
        <f>M701*G701</f>
        <v>38950</v>
      </c>
      <c r="O701" s="23">
        <f>L701+N701</f>
        <v>47950</v>
      </c>
      <c r="P701" s="46"/>
    </row>
    <row r="702" spans="1:16" ht="16.5" thickBot="1" x14ac:dyDescent="0.3">
      <c r="A702" s="60" t="str">
        <f>IF(G702&lt;&gt;"",1+MAX($A$13:A701),"")</f>
        <v/>
      </c>
      <c r="D702" s="59"/>
      <c r="I702" s="62"/>
      <c r="J702" s="71"/>
      <c r="K702" s="72"/>
      <c r="P702" s="46"/>
    </row>
    <row r="703" spans="1:16" ht="16.5" thickBot="1" x14ac:dyDescent="0.3">
      <c r="A703" s="87" t="str">
        <f>IF(G703&lt;&gt;"",1+MAX($A$13:A702),"")</f>
        <v/>
      </c>
      <c r="B703" s="83"/>
      <c r="C703" s="83" t="s">
        <v>82</v>
      </c>
      <c r="D703" s="81" t="s">
        <v>83</v>
      </c>
      <c r="E703" s="85"/>
      <c r="F703" s="86"/>
      <c r="G703" s="85"/>
      <c r="H703" s="85"/>
      <c r="I703" s="81"/>
      <c r="J703" s="81"/>
      <c r="K703" s="82"/>
      <c r="L703" s="82"/>
      <c r="M703" s="82"/>
      <c r="N703" s="82"/>
      <c r="O703" s="84"/>
      <c r="P703" s="88">
        <f>SUM(O704:O713)</f>
        <v>33836.03</v>
      </c>
    </row>
    <row r="704" spans="1:16" x14ac:dyDescent="0.25">
      <c r="A704" s="60" t="str">
        <f>IF(G704&lt;&gt;"",1+MAX($A$13:A703),"")</f>
        <v/>
      </c>
      <c r="D704" s="59"/>
      <c r="I704" s="62"/>
      <c r="J704" s="71"/>
      <c r="K704" s="72"/>
      <c r="P704" s="46"/>
    </row>
    <row r="705" spans="1:16" ht="18.75" x14ac:dyDescent="0.25">
      <c r="A705" s="60" t="str">
        <f>IF(G705&lt;&gt;"",1+MAX($A$13:A704),"")</f>
        <v/>
      </c>
      <c r="D705" s="78" t="s">
        <v>84</v>
      </c>
      <c r="E705"/>
      <c r="I705" s="62"/>
      <c r="J705" s="71"/>
      <c r="K705" s="72"/>
      <c r="P705" s="46"/>
    </row>
    <row r="706" spans="1:16" x14ac:dyDescent="0.25">
      <c r="A706" s="60">
        <f>IF(G706&lt;&gt;"",1+MAX($A$13:A705),"")</f>
        <v>462</v>
      </c>
      <c r="C706" s="16" t="s">
        <v>82</v>
      </c>
      <c r="D706" s="59" t="s">
        <v>296</v>
      </c>
      <c r="E706" s="31">
        <v>1</v>
      </c>
      <c r="F706" s="39">
        <f>VLOOKUP(H706,'PROJECT SUMMARY'!$C$26:$D$32,2,0)</f>
        <v>0</v>
      </c>
      <c r="G706" s="31">
        <f t="shared" ref="G706" si="639">E706*(1+F706)</f>
        <v>1</v>
      </c>
      <c r="H706" s="16" t="s">
        <v>10</v>
      </c>
      <c r="I706" s="62">
        <v>8.25</v>
      </c>
      <c r="J706" s="71">
        <f t="shared" ref="J706:J707" si="640">I706*G706</f>
        <v>8.25</v>
      </c>
      <c r="K706" s="72">
        <v>90</v>
      </c>
      <c r="L706" s="23">
        <f t="shared" ref="L706:L707" si="641">K706*J706</f>
        <v>742.5</v>
      </c>
      <c r="M706" s="23">
        <v>985.21</v>
      </c>
      <c r="N706" s="23">
        <f t="shared" ref="N706:N707" si="642">M706*G706</f>
        <v>985.21</v>
      </c>
      <c r="O706" s="23">
        <f t="shared" ref="O706:O707" si="643">L706+N706</f>
        <v>1727.71</v>
      </c>
      <c r="P706" s="46"/>
    </row>
    <row r="707" spans="1:16" x14ac:dyDescent="0.25">
      <c r="A707" s="60">
        <f>IF(G707&lt;&gt;"",1+MAX($A$13:A706),"")</f>
        <v>463</v>
      </c>
      <c r="C707" s="16" t="s">
        <v>82</v>
      </c>
      <c r="D707" s="59" t="s">
        <v>297</v>
      </c>
      <c r="E707" s="31">
        <v>2</v>
      </c>
      <c r="F707" s="39">
        <f>VLOOKUP(H707,'PROJECT SUMMARY'!$C$26:$D$32,2,0)</f>
        <v>0</v>
      </c>
      <c r="G707" s="31">
        <f t="shared" ref="G707" si="644">E707*(1+F707)</f>
        <v>2</v>
      </c>
      <c r="H707" s="16" t="s">
        <v>10</v>
      </c>
      <c r="I707" s="62">
        <v>9.75</v>
      </c>
      <c r="J707" s="71">
        <f t="shared" si="640"/>
        <v>19.5</v>
      </c>
      <c r="K707" s="72">
        <v>90</v>
      </c>
      <c r="L707" s="23">
        <f t="shared" si="641"/>
        <v>1755</v>
      </c>
      <c r="M707" s="23">
        <v>1102</v>
      </c>
      <c r="N707" s="23">
        <f t="shared" si="642"/>
        <v>2204</v>
      </c>
      <c r="O707" s="23">
        <f t="shared" si="643"/>
        <v>3959</v>
      </c>
      <c r="P707" s="46"/>
    </row>
    <row r="708" spans="1:16" x14ac:dyDescent="0.25">
      <c r="A708" s="60">
        <f>IF(G708&lt;&gt;"",1+MAX($A$13:A707),"")</f>
        <v>464</v>
      </c>
      <c r="C708" s="16" t="s">
        <v>82</v>
      </c>
      <c r="D708" s="59" t="s">
        <v>302</v>
      </c>
      <c r="E708" s="31">
        <v>1</v>
      </c>
      <c r="F708" s="39">
        <f>VLOOKUP(H708,'PROJECT SUMMARY'!$C$26:$D$32,2,0)</f>
        <v>0</v>
      </c>
      <c r="G708" s="31">
        <f>E708*(1+F708)</f>
        <v>1</v>
      </c>
      <c r="H708" s="16" t="s">
        <v>10</v>
      </c>
      <c r="I708" s="62">
        <v>9.75</v>
      </c>
      <c r="J708" s="80">
        <f>I708*G708</f>
        <v>9.75</v>
      </c>
      <c r="K708" s="72">
        <v>90</v>
      </c>
      <c r="L708" s="23">
        <f>K708*J708</f>
        <v>877.5</v>
      </c>
      <c r="M708" s="23">
        <v>1132</v>
      </c>
      <c r="N708" s="23">
        <f>M708*G708</f>
        <v>1132</v>
      </c>
      <c r="O708" s="23">
        <f>L708+N708</f>
        <v>2009.5</v>
      </c>
      <c r="P708" s="46"/>
    </row>
    <row r="709" spans="1:16" x14ac:dyDescent="0.25">
      <c r="A709" s="60">
        <f>IF(G709&lt;&gt;"",1+MAX($A$13:A708),"")</f>
        <v>465</v>
      </c>
      <c r="C709" s="16" t="s">
        <v>82</v>
      </c>
      <c r="D709" s="59" t="s">
        <v>301</v>
      </c>
      <c r="E709" s="31">
        <v>1</v>
      </c>
      <c r="F709" s="39">
        <f>VLOOKUP(H709,'PROJECT SUMMARY'!$C$26:$D$32,2,0)</f>
        <v>0</v>
      </c>
      <c r="G709" s="31">
        <f>E709*(1+F709)</f>
        <v>1</v>
      </c>
      <c r="H709" s="16" t="s">
        <v>10</v>
      </c>
      <c r="I709" s="62">
        <v>4.22</v>
      </c>
      <c r="J709" s="80">
        <f>I709*G709</f>
        <v>4.22</v>
      </c>
      <c r="K709" s="72">
        <v>90</v>
      </c>
      <c r="L709" s="23">
        <f>K709*J709</f>
        <v>379.79999999999995</v>
      </c>
      <c r="M709" s="23">
        <v>555</v>
      </c>
      <c r="N709" s="23">
        <f>M709*G709</f>
        <v>555</v>
      </c>
      <c r="O709" s="23">
        <f>L709+N709</f>
        <v>934.8</v>
      </c>
      <c r="P709" s="46"/>
    </row>
    <row r="710" spans="1:16" x14ac:dyDescent="0.25">
      <c r="A710" s="60">
        <f>IF(G710&lt;&gt;"",1+MAX($A$13:A709),"")</f>
        <v>466</v>
      </c>
      <c r="C710" s="16" t="s">
        <v>82</v>
      </c>
      <c r="D710" s="59" t="s">
        <v>298</v>
      </c>
      <c r="E710" s="31">
        <v>6</v>
      </c>
      <c r="F710" s="39">
        <f>VLOOKUP(H710,'PROJECT SUMMARY'!$C$26:$D$32,2,0)</f>
        <v>0</v>
      </c>
      <c r="G710" s="31">
        <f t="shared" ref="G710:G711" si="645">E710*(1+F710)</f>
        <v>6</v>
      </c>
      <c r="H710" s="16" t="s">
        <v>10</v>
      </c>
      <c r="I710" s="62">
        <v>2.33</v>
      </c>
      <c r="J710" s="80">
        <f t="shared" ref="J710:J713" si="646">I710*G710</f>
        <v>13.98</v>
      </c>
      <c r="K710" s="72">
        <v>90</v>
      </c>
      <c r="L710" s="23">
        <f t="shared" ref="L710:L713" si="647">K710*J710</f>
        <v>1258.2</v>
      </c>
      <c r="M710" s="23">
        <v>285.22000000000003</v>
      </c>
      <c r="N710" s="23">
        <f t="shared" ref="N710:N713" si="648">M710*G710</f>
        <v>1711.3200000000002</v>
      </c>
      <c r="O710" s="23">
        <f t="shared" ref="O710:O713" si="649">L710+N710</f>
        <v>2969.5200000000004</v>
      </c>
      <c r="P710" s="46"/>
    </row>
    <row r="711" spans="1:16" x14ac:dyDescent="0.25">
      <c r="A711" s="60">
        <f>IF(G711&lt;&gt;"",1+MAX($A$13:A710),"")</f>
        <v>467</v>
      </c>
      <c r="C711" s="16" t="s">
        <v>82</v>
      </c>
      <c r="D711" s="59" t="s">
        <v>300</v>
      </c>
      <c r="E711" s="31">
        <v>13</v>
      </c>
      <c r="F711" s="39">
        <f>VLOOKUP(H711,'PROJECT SUMMARY'!$C$26:$D$32,2,0)</f>
        <v>0</v>
      </c>
      <c r="G711" s="31">
        <f t="shared" si="645"/>
        <v>13</v>
      </c>
      <c r="H711" s="16" t="s">
        <v>10</v>
      </c>
      <c r="I711" s="62">
        <v>4.63</v>
      </c>
      <c r="J711" s="80">
        <f t="shared" si="646"/>
        <v>60.19</v>
      </c>
      <c r="K711" s="72">
        <v>90</v>
      </c>
      <c r="L711" s="23">
        <f t="shared" si="647"/>
        <v>5417.0999999999995</v>
      </c>
      <c r="M711" s="23">
        <v>621</v>
      </c>
      <c r="N711" s="23">
        <f t="shared" si="648"/>
        <v>8073</v>
      </c>
      <c r="O711" s="23">
        <f t="shared" si="649"/>
        <v>13490.099999999999</v>
      </c>
      <c r="P711" s="46"/>
    </row>
    <row r="712" spans="1:16" x14ac:dyDescent="0.25">
      <c r="A712" s="60">
        <f>IF(G712&lt;&gt;"",1+MAX($A$13:A711),"")</f>
        <v>468</v>
      </c>
      <c r="C712" s="16" t="s">
        <v>82</v>
      </c>
      <c r="D712" s="59" t="s">
        <v>299</v>
      </c>
      <c r="E712" s="31">
        <v>10</v>
      </c>
      <c r="F712" s="39">
        <f>VLOOKUP(H712,'PROJECT SUMMARY'!$C$26:$D$32,2,0)</f>
        <v>0</v>
      </c>
      <c r="G712" s="31">
        <f t="shared" ref="G712" si="650">E712*(1+F712)</f>
        <v>10</v>
      </c>
      <c r="H712" s="16" t="s">
        <v>10</v>
      </c>
      <c r="I712" s="62">
        <v>4.1500000000000004</v>
      </c>
      <c r="J712" s="80">
        <f t="shared" si="646"/>
        <v>41.5</v>
      </c>
      <c r="K712" s="72">
        <v>90</v>
      </c>
      <c r="L712" s="23">
        <f t="shared" si="647"/>
        <v>3735</v>
      </c>
      <c r="M712" s="23">
        <v>432</v>
      </c>
      <c r="N712" s="23">
        <f t="shared" si="648"/>
        <v>4320</v>
      </c>
      <c r="O712" s="23">
        <f t="shared" si="649"/>
        <v>8055</v>
      </c>
      <c r="P712" s="46"/>
    </row>
    <row r="713" spans="1:16" x14ac:dyDescent="0.25">
      <c r="A713" s="60">
        <f>IF(G713&lt;&gt;"",1+MAX($A$13:A712),"")</f>
        <v>469</v>
      </c>
      <c r="C713" s="16" t="s">
        <v>82</v>
      </c>
      <c r="D713" s="59" t="s">
        <v>333</v>
      </c>
      <c r="E713" s="31">
        <v>2</v>
      </c>
      <c r="F713" s="39">
        <f>VLOOKUP(H713,'PROJECT SUMMARY'!$C$26:$D$32,2,0)</f>
        <v>0</v>
      </c>
      <c r="G713" s="31">
        <f t="shared" ref="G713" si="651">E713*(1+F713)</f>
        <v>2</v>
      </c>
      <c r="H713" s="16" t="s">
        <v>10</v>
      </c>
      <c r="I713" s="62">
        <v>1.88</v>
      </c>
      <c r="J713" s="80">
        <f t="shared" si="646"/>
        <v>3.76</v>
      </c>
      <c r="K713" s="72">
        <v>90</v>
      </c>
      <c r="L713" s="23">
        <f t="shared" si="647"/>
        <v>338.4</v>
      </c>
      <c r="M713" s="23">
        <v>176</v>
      </c>
      <c r="N713" s="23">
        <f t="shared" si="648"/>
        <v>352</v>
      </c>
      <c r="O713" s="23">
        <f t="shared" si="649"/>
        <v>690.4</v>
      </c>
      <c r="P713" s="46"/>
    </row>
    <row r="714" spans="1:16" ht="16.5" thickBot="1" x14ac:dyDescent="0.3">
      <c r="A714" s="60" t="str">
        <f>IF(G714&lt;&gt;"",1+MAX($A$13:A713),"")</f>
        <v/>
      </c>
      <c r="I714" s="62"/>
      <c r="P714" s="46"/>
    </row>
    <row r="715" spans="1:16" ht="16.5" thickBot="1" x14ac:dyDescent="0.3">
      <c r="A715" s="87" t="str">
        <f>IF(G715&lt;&gt;"",1+MAX($A$13:A714),"")</f>
        <v/>
      </c>
      <c r="B715" s="83"/>
      <c r="C715" s="83" t="s">
        <v>89</v>
      </c>
      <c r="D715" s="81" t="s">
        <v>88</v>
      </c>
      <c r="E715" s="85"/>
      <c r="F715" s="86"/>
      <c r="G715" s="85"/>
      <c r="H715" s="85"/>
      <c r="I715" s="81"/>
      <c r="J715" s="81"/>
      <c r="K715" s="82"/>
      <c r="L715" s="82"/>
      <c r="M715" s="82"/>
      <c r="N715" s="82"/>
      <c r="O715" s="84"/>
      <c r="P715" s="88">
        <f>SUM(O716:O719)</f>
        <v>18005.084999999999</v>
      </c>
    </row>
    <row r="716" spans="1:16" x14ac:dyDescent="0.25">
      <c r="A716" s="60" t="str">
        <f>IF(G716&lt;&gt;"",1+MAX($A$13:A715),"")</f>
        <v/>
      </c>
      <c r="P716" s="46"/>
    </row>
    <row r="717" spans="1:16" x14ac:dyDescent="0.25">
      <c r="A717" s="60">
        <f>IF(G717&lt;&gt;"",1+MAX($A$13:A716),"")</f>
        <v>470</v>
      </c>
      <c r="C717" s="16" t="s">
        <v>89</v>
      </c>
      <c r="D717" s="59" t="s">
        <v>121</v>
      </c>
      <c r="E717" s="31">
        <v>180</v>
      </c>
      <c r="F717" s="39">
        <f>VLOOKUP(H717,'PROJECT SUMMARY'!$C$26:$D$32,2,0)</f>
        <v>0.05</v>
      </c>
      <c r="G717" s="31">
        <f>E717*(1+F717)</f>
        <v>189</v>
      </c>
      <c r="H717" s="16" t="s">
        <v>16</v>
      </c>
      <c r="I717" s="62">
        <v>0.315</v>
      </c>
      <c r="J717" s="71">
        <f>I717*G717</f>
        <v>59.535000000000004</v>
      </c>
      <c r="K717" s="72">
        <v>146</v>
      </c>
      <c r="L717" s="23">
        <f>K717*J717</f>
        <v>8692.11</v>
      </c>
      <c r="N717" s="23">
        <f>M717*G717</f>
        <v>0</v>
      </c>
      <c r="O717" s="23">
        <f>L717+N717</f>
        <v>8692.11</v>
      </c>
      <c r="P717" s="46"/>
    </row>
    <row r="718" spans="1:16" x14ac:dyDescent="0.25">
      <c r="A718" s="60">
        <f>IF(G718&lt;&gt;"",1+MAX($A$13:A717),"")</f>
        <v>471</v>
      </c>
      <c r="C718" s="16" t="s">
        <v>89</v>
      </c>
      <c r="D718" s="59" t="s">
        <v>122</v>
      </c>
      <c r="E718" s="31">
        <v>135</v>
      </c>
      <c r="F718" s="39">
        <f>VLOOKUP(H718,'PROJECT SUMMARY'!$C$26:$D$32,2,0)</f>
        <v>0.05</v>
      </c>
      <c r="G718" s="31">
        <f t="shared" ref="G718" si="652">E718*(1+F718)</f>
        <v>141.75</v>
      </c>
      <c r="H718" s="16" t="s">
        <v>16</v>
      </c>
      <c r="I718" s="62">
        <v>0.3</v>
      </c>
      <c r="J718" s="71">
        <f t="shared" ref="J718:J719" si="653">I718*G718</f>
        <v>42.524999999999999</v>
      </c>
      <c r="K718" s="72">
        <v>146</v>
      </c>
      <c r="L718" s="23">
        <f t="shared" ref="L718:L719" si="654">K718*J718</f>
        <v>6208.65</v>
      </c>
      <c r="N718" s="23">
        <f t="shared" ref="N718:N719" si="655">M718*G718</f>
        <v>0</v>
      </c>
      <c r="O718" s="23">
        <f t="shared" ref="O718:O719" si="656">L718+N718</f>
        <v>6208.65</v>
      </c>
      <c r="P718" s="46"/>
    </row>
    <row r="719" spans="1:16" x14ac:dyDescent="0.25">
      <c r="A719" s="60">
        <f>IF(G719&lt;&gt;"",1+MAX($A$13:A718),"")</f>
        <v>472</v>
      </c>
      <c r="C719" s="16" t="s">
        <v>89</v>
      </c>
      <c r="D719" s="59" t="s">
        <v>123</v>
      </c>
      <c r="E719" s="31">
        <v>45</v>
      </c>
      <c r="F719" s="39">
        <f>VLOOKUP(H719,'PROJECT SUMMARY'!$C$26:$D$32,2,0)</f>
        <v>0.05</v>
      </c>
      <c r="G719" s="31">
        <f t="shared" ref="G719" si="657">E719*(1+F719)</f>
        <v>47.25</v>
      </c>
      <c r="H719" s="16" t="s">
        <v>16</v>
      </c>
      <c r="I719" s="62">
        <v>0.45</v>
      </c>
      <c r="J719" s="71">
        <f t="shared" si="653"/>
        <v>21.262499999999999</v>
      </c>
      <c r="K719" s="72">
        <v>146</v>
      </c>
      <c r="L719" s="23">
        <f t="shared" si="654"/>
        <v>3104.3249999999998</v>
      </c>
      <c r="N719" s="23">
        <f t="shared" si="655"/>
        <v>0</v>
      </c>
      <c r="O719" s="23">
        <f t="shared" si="656"/>
        <v>3104.3249999999998</v>
      </c>
      <c r="P719" s="46"/>
    </row>
    <row r="720" spans="1:16" ht="16.5" thickBot="1" x14ac:dyDescent="0.3">
      <c r="A720" s="60" t="str">
        <f>IF(G720&lt;&gt;"",1+MAX($A$13:A719),"")</f>
        <v/>
      </c>
      <c r="I720" s="62"/>
      <c r="P720" s="46"/>
    </row>
    <row r="721" spans="1:16" ht="16.5" thickBot="1" x14ac:dyDescent="0.3">
      <c r="A721" s="87" t="str">
        <f>IF(G721&lt;&gt;"",1+MAX($A$13:A720),"")</f>
        <v/>
      </c>
      <c r="B721" s="83"/>
      <c r="C721" s="83" t="s">
        <v>86</v>
      </c>
      <c r="D721" s="81" t="s">
        <v>87</v>
      </c>
      <c r="E721" s="85"/>
      <c r="F721" s="86"/>
      <c r="G721" s="85"/>
      <c r="H721" s="85"/>
      <c r="I721" s="81"/>
      <c r="J721" s="81"/>
      <c r="K721" s="82"/>
      <c r="L721" s="82"/>
      <c r="M721" s="82"/>
      <c r="N721" s="82"/>
      <c r="O721" s="84"/>
      <c r="P721" s="88">
        <f>SUM(O722:O738)</f>
        <v>20335.998252777779</v>
      </c>
    </row>
    <row r="722" spans="1:16" x14ac:dyDescent="0.25">
      <c r="A722" s="60" t="str">
        <f>IF(G722&lt;&gt;"",1+MAX($A$13:A721),"")</f>
        <v/>
      </c>
      <c r="P722" s="46"/>
    </row>
    <row r="723" spans="1:16" x14ac:dyDescent="0.25">
      <c r="A723" s="60" t="str">
        <f>IF(G723&lt;&gt;"",1+MAX($A$13:A722),"")</f>
        <v/>
      </c>
      <c r="D723" s="58" t="s">
        <v>365</v>
      </c>
      <c r="J723" s="71"/>
      <c r="P723" s="46"/>
    </row>
    <row r="724" spans="1:16" x14ac:dyDescent="0.25">
      <c r="A724" s="60">
        <f>IF(G724&lt;&gt;"",1+MAX($A$13:A723),"")</f>
        <v>473</v>
      </c>
      <c r="C724" s="16" t="s">
        <v>86</v>
      </c>
      <c r="D724" s="59" t="s">
        <v>366</v>
      </c>
      <c r="E724" s="31">
        <f>216.58*0.5/27</f>
        <v>4.0107407407407409</v>
      </c>
      <c r="F724" s="39">
        <f>VLOOKUP(H724,'PROJECT SUMMARY'!$C$26:$D$32,2,0)</f>
        <v>0.05</v>
      </c>
      <c r="G724" s="31">
        <f>E724*(1+F724)</f>
        <v>4.2112777777777781</v>
      </c>
      <c r="H724" s="16" t="s">
        <v>16</v>
      </c>
      <c r="I724" s="62">
        <v>3</v>
      </c>
      <c r="J724" s="71">
        <f>I724*G724</f>
        <v>12.633833333333335</v>
      </c>
      <c r="K724" s="23">
        <v>52</v>
      </c>
      <c r="L724" s="23">
        <f>K724*J724</f>
        <v>656.95933333333346</v>
      </c>
      <c r="M724" s="23">
        <v>185</v>
      </c>
      <c r="N724" s="23">
        <f>M724*G724</f>
        <v>779.08638888888891</v>
      </c>
      <c r="O724" s="23">
        <f>L724+N724</f>
        <v>1436.0457222222224</v>
      </c>
      <c r="P724" s="46"/>
    </row>
    <row r="725" spans="1:16" x14ac:dyDescent="0.25">
      <c r="A725" s="60" t="str">
        <f>IF(G725&lt;&gt;"",1+MAX($A$13:A724),"")</f>
        <v/>
      </c>
      <c r="I725" s="62"/>
      <c r="J725" s="71"/>
      <c r="P725" s="46"/>
    </row>
    <row r="726" spans="1:16" x14ac:dyDescent="0.25">
      <c r="A726" s="60" t="str">
        <f>IF(G726&lt;&gt;"",1+MAX($A$13:A725),"")</f>
        <v/>
      </c>
      <c r="D726" s="58" t="s">
        <v>134</v>
      </c>
      <c r="J726" s="71"/>
      <c r="P726" s="46"/>
    </row>
    <row r="727" spans="1:16" x14ac:dyDescent="0.25">
      <c r="A727" s="60">
        <f>IF(G727&lt;&gt;"",1+MAX($A$13:A726),"")</f>
        <v>474</v>
      </c>
      <c r="C727" s="16" t="s">
        <v>86</v>
      </c>
      <c r="D727" s="59" t="s">
        <v>367</v>
      </c>
      <c r="E727" s="31">
        <f>378.1/27*0.5</f>
        <v>7.0018518518518524</v>
      </c>
      <c r="F727" s="39">
        <f>VLOOKUP(H727,'PROJECT SUMMARY'!$C$26:$D$32,2,0)</f>
        <v>0.05</v>
      </c>
      <c r="G727" s="31">
        <f t="shared" ref="G727" si="658">E727*(1+F727)</f>
        <v>7.3519444444444453</v>
      </c>
      <c r="H727" s="16" t="s">
        <v>16</v>
      </c>
      <c r="I727" s="62">
        <v>3</v>
      </c>
      <c r="J727" s="71">
        <f>I727*G727</f>
        <v>22.055833333333336</v>
      </c>
      <c r="K727" s="23">
        <v>52</v>
      </c>
      <c r="L727" s="23">
        <f>K727*J727</f>
        <v>1146.9033333333334</v>
      </c>
      <c r="M727" s="23">
        <v>185</v>
      </c>
      <c r="N727" s="23">
        <f>M727*G727</f>
        <v>1360.1097222222224</v>
      </c>
      <c r="O727" s="23">
        <f>L727+N727</f>
        <v>2507.0130555555561</v>
      </c>
      <c r="P727" s="46"/>
    </row>
    <row r="728" spans="1:16" x14ac:dyDescent="0.25">
      <c r="A728" s="60" t="str">
        <f>IF(G728&lt;&gt;"",1+MAX($A$13:A727),"")</f>
        <v/>
      </c>
      <c r="D728" s="59"/>
      <c r="I728" s="62"/>
      <c r="J728" s="71"/>
      <c r="P728" s="46"/>
    </row>
    <row r="729" spans="1:16" x14ac:dyDescent="0.25">
      <c r="A729" s="60" t="str">
        <f>IF(G729&lt;&gt;"",1+MAX($A$13:A728),"")</f>
        <v/>
      </c>
      <c r="D729" s="58" t="s">
        <v>66</v>
      </c>
      <c r="I729" s="62"/>
      <c r="J729" s="71"/>
      <c r="P729" s="46"/>
    </row>
    <row r="730" spans="1:16" x14ac:dyDescent="0.25">
      <c r="A730" s="60">
        <f>IF(G730&lt;&gt;"",1+MAX($A$13:A729),"")</f>
        <v>475</v>
      </c>
      <c r="C730" s="16" t="s">
        <v>63</v>
      </c>
      <c r="D730" s="59" t="s">
        <v>67</v>
      </c>
      <c r="E730" s="31">
        <v>11</v>
      </c>
      <c r="F730" s="39">
        <f>VLOOKUP(H730,'PROJECT SUMMARY'!$C$26:$D$32,2,0)</f>
        <v>0.05</v>
      </c>
      <c r="G730" s="31">
        <f>E730*(1+F730)</f>
        <v>11.55</v>
      </c>
      <c r="H730" s="16" t="s">
        <v>16</v>
      </c>
      <c r="I730" s="62">
        <v>0.3</v>
      </c>
      <c r="J730" s="71">
        <f>I730*G730</f>
        <v>3.4650000000000003</v>
      </c>
      <c r="K730" s="23">
        <v>52</v>
      </c>
      <c r="L730" s="23">
        <f>K730*J730</f>
        <v>180.18</v>
      </c>
      <c r="N730" s="23">
        <f>M730*G730</f>
        <v>0</v>
      </c>
      <c r="O730" s="23">
        <f>L730+N730</f>
        <v>180.18</v>
      </c>
      <c r="P730" s="46"/>
    </row>
    <row r="731" spans="1:16" x14ac:dyDescent="0.25">
      <c r="A731" s="60" t="str">
        <f>IF(G731&lt;&gt;"",1+MAX($A$13:A730),"")</f>
        <v/>
      </c>
      <c r="P731" s="46"/>
    </row>
    <row r="732" spans="1:16" x14ac:dyDescent="0.25">
      <c r="A732" s="60" t="str">
        <f>IF(G732&lt;&gt;"",1+MAX($A$13:A731),"")</f>
        <v/>
      </c>
      <c r="D732" s="58" t="s">
        <v>113</v>
      </c>
      <c r="J732" s="71"/>
      <c r="P732" s="46"/>
    </row>
    <row r="733" spans="1:16" x14ac:dyDescent="0.25">
      <c r="A733" s="60">
        <f>IF(G733&lt;&gt;"",1+MAX($A$13:A732),"")</f>
        <v>476</v>
      </c>
      <c r="C733" s="16" t="s">
        <v>86</v>
      </c>
      <c r="D733" s="59" t="s">
        <v>361</v>
      </c>
      <c r="E733" s="31">
        <v>30.62</v>
      </c>
      <c r="F733" s="39">
        <f>VLOOKUP(H733,'PROJECT SUMMARY'!$C$26:$D$32,2,0)</f>
        <v>0</v>
      </c>
      <c r="G733" s="31">
        <f t="shared" ref="G733:G736" si="659">E733*(1+F733)</f>
        <v>30.62</v>
      </c>
      <c r="H733" s="16" t="s">
        <v>10</v>
      </c>
      <c r="I733" s="62">
        <v>2.16</v>
      </c>
      <c r="J733" s="71">
        <f t="shared" ref="J733:J738" si="660">I733*G733</f>
        <v>66.139200000000002</v>
      </c>
      <c r="K733" s="23">
        <v>52</v>
      </c>
      <c r="L733" s="23">
        <f t="shared" ref="L733:L738" si="661">K733*J733</f>
        <v>3439.2384000000002</v>
      </c>
      <c r="M733" s="23">
        <v>185.63</v>
      </c>
      <c r="N733" s="23">
        <f t="shared" ref="N733:N738" si="662">M733*G733</f>
        <v>5683.9906000000001</v>
      </c>
      <c r="O733" s="23">
        <f t="shared" ref="O733:O738" si="663">L733+N733</f>
        <v>9123.2289999999994</v>
      </c>
      <c r="P733" s="46"/>
    </row>
    <row r="734" spans="1:16" x14ac:dyDescent="0.25">
      <c r="A734" s="60" t="str">
        <f>IF(G734&lt;&gt;"",1+MAX($A$13:A733),"")</f>
        <v/>
      </c>
      <c r="D734" s="59"/>
      <c r="J734" s="71"/>
      <c r="K734" s="72"/>
      <c r="P734" s="46"/>
    </row>
    <row r="735" spans="1:16" x14ac:dyDescent="0.25">
      <c r="A735" s="60" t="str">
        <f>IF(G735&lt;&gt;"",1+MAX($A$13:A734),"")</f>
        <v/>
      </c>
      <c r="D735" s="58" t="s">
        <v>90</v>
      </c>
      <c r="I735" s="62"/>
      <c r="J735" s="71"/>
      <c r="K735" s="72"/>
      <c r="P735" s="46"/>
    </row>
    <row r="736" spans="1:16" x14ac:dyDescent="0.25">
      <c r="A736" s="60">
        <f>IF(G736&lt;&gt;"",1+MAX($A$13:A735),"")</f>
        <v>477</v>
      </c>
      <c r="C736" s="16" t="s">
        <v>86</v>
      </c>
      <c r="D736" s="59" t="s">
        <v>362</v>
      </c>
      <c r="E736" s="31">
        <v>46.47</v>
      </c>
      <c r="F736" s="39">
        <f>VLOOKUP(H736,'PROJECT SUMMARY'!$C$26:$D$32,2,0)</f>
        <v>0.05</v>
      </c>
      <c r="G736" s="31">
        <f t="shared" si="659"/>
        <v>48.793500000000002</v>
      </c>
      <c r="H736" s="16" t="s">
        <v>12</v>
      </c>
      <c r="I736" s="62">
        <v>0.2</v>
      </c>
      <c r="J736" s="71">
        <f t="shared" si="660"/>
        <v>9.758700000000001</v>
      </c>
      <c r="K736" s="23">
        <v>52</v>
      </c>
      <c r="L736" s="23">
        <f t="shared" si="661"/>
        <v>507.45240000000007</v>
      </c>
      <c r="M736" s="23">
        <v>12.22</v>
      </c>
      <c r="N736" s="23">
        <f t="shared" si="662"/>
        <v>596.25657000000001</v>
      </c>
      <c r="O736" s="23">
        <f t="shared" si="663"/>
        <v>1103.7089700000001</v>
      </c>
      <c r="P736" s="46"/>
    </row>
    <row r="737" spans="1:16" x14ac:dyDescent="0.25">
      <c r="A737" s="60">
        <f>IF(G737&lt;&gt;"",1+MAX($A$13:A736),"")</f>
        <v>478</v>
      </c>
      <c r="C737" s="16" t="s">
        <v>86</v>
      </c>
      <c r="D737" s="59" t="s">
        <v>363</v>
      </c>
      <c r="E737" s="31">
        <v>270.70999999999998</v>
      </c>
      <c r="F737" s="39">
        <f>VLOOKUP(H737,'PROJECT SUMMARY'!$C$26:$D$32,2,0)</f>
        <v>0.05</v>
      </c>
      <c r="G737" s="31">
        <f t="shared" ref="G737" si="664">E737*(1+F737)</f>
        <v>284.24549999999999</v>
      </c>
      <c r="H737" s="16" t="s">
        <v>12</v>
      </c>
      <c r="I737" s="62">
        <v>0.16500000000000001</v>
      </c>
      <c r="J737" s="71">
        <f t="shared" si="660"/>
        <v>46.900507500000003</v>
      </c>
      <c r="K737" s="23">
        <v>52</v>
      </c>
      <c r="L737" s="23">
        <f t="shared" si="661"/>
        <v>2438.8263900000002</v>
      </c>
      <c r="M737" s="23">
        <v>6.53</v>
      </c>
      <c r="N737" s="23">
        <f t="shared" si="662"/>
        <v>1856.1231150000001</v>
      </c>
      <c r="O737" s="23">
        <f t="shared" si="663"/>
        <v>4294.9495050000005</v>
      </c>
      <c r="P737" s="46"/>
    </row>
    <row r="738" spans="1:16" x14ac:dyDescent="0.25">
      <c r="A738" s="60">
        <f>IF(G738&lt;&gt;"",1+MAX($A$13:A737),"")</f>
        <v>479</v>
      </c>
      <c r="C738" s="16" t="s">
        <v>86</v>
      </c>
      <c r="D738" s="59" t="s">
        <v>364</v>
      </c>
      <c r="E738" s="31">
        <v>44.97</v>
      </c>
      <c r="F738" s="39">
        <f>VLOOKUP(H738,'PROJECT SUMMARY'!$C$26:$D$32,2,0)</f>
        <v>0</v>
      </c>
      <c r="G738" s="31">
        <f t="shared" ref="G738" si="665">E738*(1+F738)</f>
        <v>44.97</v>
      </c>
      <c r="H738" s="16" t="s">
        <v>10</v>
      </c>
      <c r="I738" s="62">
        <v>0.3</v>
      </c>
      <c r="J738" s="71">
        <f t="shared" si="660"/>
        <v>13.491</v>
      </c>
      <c r="K738" s="23">
        <v>52</v>
      </c>
      <c r="L738" s="23">
        <f t="shared" si="661"/>
        <v>701.53199999999993</v>
      </c>
      <c r="M738" s="23">
        <v>22</v>
      </c>
      <c r="N738" s="23">
        <f t="shared" si="662"/>
        <v>989.33999999999992</v>
      </c>
      <c r="O738" s="23">
        <f t="shared" si="663"/>
        <v>1690.8719999999998</v>
      </c>
      <c r="P738" s="46"/>
    </row>
    <row r="739" spans="1:16" ht="16.5" thickBot="1" x14ac:dyDescent="0.3">
      <c r="A739" s="60" t="str">
        <f>IF(G739&lt;&gt;"",1+MAX($A$13:A738),"")</f>
        <v/>
      </c>
      <c r="I739" s="62"/>
      <c r="P739" s="46"/>
    </row>
    <row r="740" spans="1:16" ht="16.5" thickBot="1" x14ac:dyDescent="0.3">
      <c r="A740" s="87" t="str">
        <f>IF(G740&lt;&gt;"",1+MAX($A$13:A739),"")</f>
        <v/>
      </c>
      <c r="B740" s="83"/>
      <c r="C740" s="83" t="s">
        <v>357</v>
      </c>
      <c r="D740" s="81" t="s">
        <v>358</v>
      </c>
      <c r="E740" s="85"/>
      <c r="F740" s="86"/>
      <c r="G740" s="85"/>
      <c r="H740" s="85"/>
      <c r="I740" s="81"/>
      <c r="J740" s="81"/>
      <c r="K740" s="82"/>
      <c r="L740" s="82"/>
      <c r="M740" s="82"/>
      <c r="N740" s="82"/>
      <c r="O740" s="84"/>
      <c r="P740" s="88">
        <f>SUM(O741:O745)</f>
        <v>4790.8434646153855</v>
      </c>
    </row>
    <row r="741" spans="1:16" x14ac:dyDescent="0.25">
      <c r="A741" s="60" t="str">
        <f>IF(G741&lt;&gt;"",1+MAX($A$13:A740),"")</f>
        <v/>
      </c>
      <c r="P741" s="46"/>
    </row>
    <row r="742" spans="1:16" x14ac:dyDescent="0.25">
      <c r="A742" s="60">
        <f>IF(G742&lt;&gt;"",1+MAX($A$13:A741),"")</f>
        <v>480</v>
      </c>
      <c r="C742" s="16" t="s">
        <v>357</v>
      </c>
      <c r="D742" s="59" t="s">
        <v>359</v>
      </c>
      <c r="E742" s="31">
        <v>20</v>
      </c>
      <c r="F742" s="39">
        <f>VLOOKUP(H742,'PROJECT SUMMARY'!$C$26:$D$32,2,0)</f>
        <v>0.05</v>
      </c>
      <c r="G742" s="31">
        <f t="shared" ref="G742:G743" si="666">E742*(1+F742)</f>
        <v>21</v>
      </c>
      <c r="H742" s="16" t="s">
        <v>11</v>
      </c>
      <c r="I742" s="62">
        <v>0.65</v>
      </c>
      <c r="J742" s="71">
        <f t="shared" ref="J742:J744" si="667">I742*G742</f>
        <v>13.65</v>
      </c>
      <c r="K742" s="72">
        <v>52</v>
      </c>
      <c r="L742" s="23">
        <f t="shared" ref="L742:L744" si="668">K742*J742</f>
        <v>709.80000000000007</v>
      </c>
      <c r="M742" s="23">
        <v>43.07692307692308</v>
      </c>
      <c r="N742" s="23">
        <f t="shared" ref="N742:N744" si="669">M742*G742</f>
        <v>904.61538461538464</v>
      </c>
      <c r="O742" s="23">
        <f t="shared" ref="O742:O744" si="670">L742+N742</f>
        <v>1614.4153846153847</v>
      </c>
      <c r="P742" s="46"/>
    </row>
    <row r="743" spans="1:16" x14ac:dyDescent="0.25">
      <c r="A743" s="60">
        <f>IF(G743&lt;&gt;"",1+MAX($A$13:A742),"")</f>
        <v>481</v>
      </c>
      <c r="C743" s="16" t="s">
        <v>357</v>
      </c>
      <c r="D743" s="59" t="s">
        <v>360</v>
      </c>
      <c r="E743" s="31">
        <v>11.47</v>
      </c>
      <c r="F743" s="39">
        <f>VLOOKUP(H743,'PROJECT SUMMARY'!$C$26:$D$32,2,0)</f>
        <v>0.05</v>
      </c>
      <c r="G743" s="31">
        <f t="shared" si="666"/>
        <v>12.043500000000002</v>
      </c>
      <c r="H743" s="16" t="s">
        <v>11</v>
      </c>
      <c r="I743" s="62">
        <v>0.72</v>
      </c>
      <c r="J743" s="71">
        <f t="shared" si="667"/>
        <v>8.6713200000000015</v>
      </c>
      <c r="K743" s="72">
        <v>52</v>
      </c>
      <c r="L743" s="23">
        <f t="shared" si="668"/>
        <v>450.9086400000001</v>
      </c>
      <c r="M743" s="23">
        <v>57.44</v>
      </c>
      <c r="N743" s="23">
        <f t="shared" si="669"/>
        <v>691.77864000000011</v>
      </c>
      <c r="O743" s="23">
        <f t="shared" si="670"/>
        <v>1142.6872800000001</v>
      </c>
      <c r="P743" s="46"/>
    </row>
    <row r="744" spans="1:16" x14ac:dyDescent="0.25">
      <c r="A744" s="60">
        <f>IF(G744&lt;&gt;"",1+MAX($A$13:A743),"")</f>
        <v>482</v>
      </c>
      <c r="C744" s="16" t="s">
        <v>357</v>
      </c>
      <c r="D744" s="59" t="s">
        <v>415</v>
      </c>
      <c r="E744" s="31">
        <v>384</v>
      </c>
      <c r="F744" s="39">
        <f>VLOOKUP(H744,'PROJECT SUMMARY'!$C$26:$D$32,2,0)</f>
        <v>0.05</v>
      </c>
      <c r="G744" s="31">
        <f t="shared" ref="G744" si="671">E744*(1+F744)</f>
        <v>403.20000000000005</v>
      </c>
      <c r="H744" s="16" t="s">
        <v>11</v>
      </c>
      <c r="I744" s="62">
        <v>6.5000000000000002E-2</v>
      </c>
      <c r="J744" s="71">
        <f t="shared" si="667"/>
        <v>26.208000000000006</v>
      </c>
      <c r="K744" s="23">
        <v>52</v>
      </c>
      <c r="L744" s="23">
        <f t="shared" si="668"/>
        <v>1362.8160000000003</v>
      </c>
      <c r="M744" s="23">
        <v>1.6640000000000001</v>
      </c>
      <c r="N744" s="23">
        <f t="shared" si="669"/>
        <v>670.92480000000012</v>
      </c>
      <c r="O744" s="23">
        <f t="shared" si="670"/>
        <v>2033.7408000000005</v>
      </c>
      <c r="P744" s="46"/>
    </row>
    <row r="745" spans="1:16" ht="16.5" thickBot="1" x14ac:dyDescent="0.3">
      <c r="A745" s="47"/>
      <c r="B745" s="48"/>
      <c r="C745" s="48"/>
      <c r="D745" s="48"/>
      <c r="E745" s="48"/>
      <c r="F745" s="50"/>
      <c r="P745" s="46"/>
    </row>
    <row r="746" spans="1:16" ht="16.5" thickBot="1" x14ac:dyDescent="0.3">
      <c r="G746" s="52"/>
      <c r="H746" s="53"/>
      <c r="I746" s="54" t="s">
        <v>41</v>
      </c>
      <c r="J746" s="97">
        <f>SUM(J14:J745)</f>
        <v>14361.272228958529</v>
      </c>
      <c r="K746" s="55"/>
      <c r="L746" s="91">
        <f>SUM(L14:L745)</f>
        <v>821296.86585019086</v>
      </c>
      <c r="M746" s="92"/>
      <c r="N746" s="91">
        <f>SUM(N14:N745)</f>
        <v>1058024.974557156</v>
      </c>
      <c r="O746" s="91">
        <f>SUM(O14:O745)</f>
        <v>1879321.8404073464</v>
      </c>
      <c r="P746" s="91">
        <f>SUM(P14:P745)</f>
        <v>1879321.8404073473</v>
      </c>
    </row>
    <row r="747" spans="1:16" ht="16.5" thickBot="1" x14ac:dyDescent="0.3">
      <c r="G747" s="21">
        <v>9.5000000000000001E-2</v>
      </c>
      <c r="H747" s="1" t="s">
        <v>20</v>
      </c>
      <c r="I747" s="1"/>
      <c r="J747" s="1"/>
      <c r="L747" s="93"/>
      <c r="M747" s="93"/>
      <c r="N747" s="91">
        <f>N746*G747</f>
        <v>100512.37258292982</v>
      </c>
      <c r="O747" s="91">
        <f>N747</f>
        <v>100512.37258292982</v>
      </c>
      <c r="P747" s="94">
        <f>O747</f>
        <v>100512.37258292982</v>
      </c>
    </row>
    <row r="748" spans="1:16" ht="16.5" thickBot="1" x14ac:dyDescent="0.3">
      <c r="G748" s="56">
        <v>0.2</v>
      </c>
      <c r="H748" s="57" t="s">
        <v>21</v>
      </c>
      <c r="I748" s="57"/>
      <c r="J748" s="57"/>
      <c r="K748" s="55"/>
      <c r="L748" s="91">
        <f>L746*G748</f>
        <v>164259.37317003819</v>
      </c>
      <c r="M748" s="92"/>
      <c r="N748" s="91">
        <f>N746*G748</f>
        <v>211604.99491143122</v>
      </c>
      <c r="O748" s="91">
        <f>L748+N748</f>
        <v>375864.36808146944</v>
      </c>
      <c r="P748" s="91">
        <f>O748</f>
        <v>375864.36808146944</v>
      </c>
    </row>
    <row r="749" spans="1:16" ht="16.5" thickBot="1" x14ac:dyDescent="0.3">
      <c r="G749" s="47"/>
      <c r="H749" s="49" t="s">
        <v>35</v>
      </c>
      <c r="I749" s="49"/>
      <c r="J749" s="49"/>
      <c r="K749" s="51"/>
      <c r="L749" s="91">
        <f>SUM(L746:L748)</f>
        <v>985556.23902022908</v>
      </c>
      <c r="M749" s="95"/>
      <c r="N749" s="91">
        <f>SUM(N746:N748)</f>
        <v>1370142.3420515172</v>
      </c>
      <c r="O749" s="91">
        <f>SUM(O746:O748)</f>
        <v>2355698.5810717456</v>
      </c>
      <c r="P749" s="96">
        <f>SUM(P746:P748)</f>
        <v>2355698.5810717465</v>
      </c>
    </row>
  </sheetData>
  <sortState xmlns:xlrd2="http://schemas.microsoft.com/office/spreadsheetml/2017/richdata2" ref="D299:E325">
    <sortCondition ref="D299:D325"/>
  </sortState>
  <mergeCells count="5">
    <mergeCell ref="A2:P2"/>
    <mergeCell ref="B7:C7"/>
    <mergeCell ref="B8:C8"/>
    <mergeCell ref="A5:D5"/>
    <mergeCell ref="B9:C9"/>
  </mergeCells>
  <pageMargins left="0.7" right="0.7" top="0.75" bottom="0.75" header="0.3" footer="0.3"/>
  <pageSetup scale="3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'PROJECT SUMMARY'!$C$26:$C$32</xm:f>
          </x14:formula1>
          <xm:sqref>H704:H744 H331:H701 H14:H18 H23:H24 H20:H21 H26:H27 H32:H33 H29:H30 H35:H41 H51:H67 H92:H130 H154:H328</xm:sqref>
        </x14:dataValidation>
        <x14:dataValidation type="list" allowBlank="1" showInputMessage="1" showErrorMessage="1" xr:uid="{00000000-0002-0000-0100-000001000000}">
          <x14:formula1>
            <xm:f>'C:\Users\waqar\Desktop\[MEP METROPOLITAN.xlsx]PROJECT SUMMARY'!#REF!</xm:f>
          </x14:formula1>
          <xm:sqref>H702:H703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9489827-E508-45A3-A8E3-87362EF7782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SUMMARY</vt:lpstr>
      <vt:lpstr>BASE BID</vt:lpstr>
      <vt:lpstr>'BASE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Azad</dc:creator>
  <cp:keywords/>
  <dc:description/>
  <cp:lastModifiedBy>waqar liaquat</cp:lastModifiedBy>
  <cp:revision/>
  <dcterms:created xsi:type="dcterms:W3CDTF">2021-10-19T09:11:38Z</dcterms:created>
  <dcterms:modified xsi:type="dcterms:W3CDTF">2023-03-07T11:21:31Z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{99489827-E508-45A3-A8E3-87362EF7782B}</vt:lpwstr>
  </property>
</Properties>
</file>